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1011" sheetId="1" r:id="rId1"/>
    <sheet name="1012" sheetId="2" r:id="rId2"/>
  </sheets>
  <definedNames/>
  <calcPr fullCalcOnLoad="1"/>
</workbook>
</file>

<file path=xl/sharedStrings.xml><?xml version="1.0" encoding="utf-8"?>
<sst xmlns="http://schemas.openxmlformats.org/spreadsheetml/2006/main" count="90" uniqueCount="42">
  <si>
    <t>學
院</t>
  </si>
  <si>
    <t>系所</t>
  </si>
  <si>
    <t>日間部</t>
  </si>
  <si>
    <t>進修部</t>
  </si>
  <si>
    <t>總
平
均</t>
  </si>
  <si>
    <t>學生
人數</t>
  </si>
  <si>
    <t>健
康
學
院</t>
  </si>
  <si>
    <t>醫技</t>
  </si>
  <si>
    <t>醫工所</t>
  </si>
  <si>
    <t>牙技</t>
  </si>
  <si>
    <t>環安</t>
  </si>
  <si>
    <t>醫生所</t>
  </si>
  <si>
    <t>生科所</t>
  </si>
  <si>
    <t>食科</t>
  </si>
  <si>
    <t>合  計</t>
  </si>
  <si>
    <t>護
理
學
院</t>
  </si>
  <si>
    <t>護理</t>
  </si>
  <si>
    <t>護研所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</si>
  <si>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</si>
  <si>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</si>
  <si>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</si>
  <si>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</si>
  <si>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</si>
  <si>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</si>
  <si>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</si>
  <si>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</si>
  <si>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</si>
  <si>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藥科所</t>
  </si>
  <si>
    <t>健管所</t>
  </si>
  <si>
    <t>視光系</t>
  </si>
  <si>
    <t>醫技碩士</t>
  </si>
  <si>
    <t>進館人次</t>
  </si>
  <si>
    <t>平均每人
進館次數</t>
  </si>
  <si>
    <t>兒教</t>
  </si>
  <si>
    <t>醫放</t>
  </si>
  <si>
    <t>醫放所</t>
  </si>
  <si>
    <t>安災所</t>
  </si>
  <si>
    <t>食科碩士</t>
  </si>
  <si>
    <r>
      <t>101學年度第</t>
    </r>
    <r>
      <rPr>
        <b/>
        <sz val="18"/>
        <rFont val="新細明體"/>
        <family val="1"/>
      </rPr>
      <t xml:space="preserve"> 1 </t>
    </r>
    <r>
      <rPr>
        <sz val="18"/>
        <rFont val="新細明體"/>
        <family val="1"/>
      </rPr>
      <t>學期各系所學生進館人次統計表</t>
    </r>
  </si>
  <si>
    <t>備注: 進修部人數未含產學碩專班(45人)及福祉專班(7人)及長福所(27人)</t>
  </si>
  <si>
    <r>
      <t xml:space="preserve">101學年度第 </t>
    </r>
    <r>
      <rPr>
        <b/>
        <sz val="18"/>
        <rFont val="新細明體"/>
        <family val="1"/>
      </rPr>
      <t xml:space="preserve">2 </t>
    </r>
    <r>
      <rPr>
        <sz val="18"/>
        <rFont val="新細明體"/>
        <family val="1"/>
      </rPr>
      <t>學期各系所學生進館人次統計表</t>
    </r>
  </si>
  <si>
    <t>備注: 進修部人數未含長福祉專班(23人)及產業碩專(38人)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</si>
</sst>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</numFmts>
  <fonts count="45">
    <font>
      <sz val="12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7" applyNumberFormat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9" borderId="9" applyNumberFormat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連結的儲存格" xfId="46"/>
    <cellStyle name="合計" xfId="47"/>
    <cellStyle name="好" xfId="48"/>
    <cellStyle name="Currency" xfId="49"/>
    <cellStyle name="Currency [0]" xfId="50"/>
    <cellStyle name="壞" xfId="51"/>
    <cellStyle name="計算方式" xfId="52"/>
    <cellStyle name="檢查儲存格" xfId="53"/>
    <cellStyle name="警告文字" xfId="54"/>
    <cellStyle name="Comma" xfId="55"/>
    <cellStyle name="Comma [0]" xfId="56"/>
    <cellStyle name="中等" xfId="57"/>
    <cellStyle name="輸出" xfId="58"/>
    <cellStyle name="輸入" xfId="59"/>
    <cellStyle name="說明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25" sqref="C25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</cols>
  <sheetData>
    <row r="1" spans="1:9" ht="25.5">
      <c r="A1" s="12" t="s">
        <v>38</v>
      </c>
      <c r="B1" s="12"/>
      <c r="C1" s="12"/>
      <c r="D1" s="12"/>
      <c r="E1" s="12"/>
      <c r="F1" s="12"/>
      <c r="G1" s="12"/>
      <c r="H1" s="12"/>
      <c r="I1" s="13"/>
    </row>
    <row r="2" spans="1:9" ht="21" customHeight="1">
      <c r="A2" s="14" t="s">
        <v>0</v>
      </c>
      <c r="B2" s="16" t="s">
        <v>1</v>
      </c>
      <c r="C2" s="18" t="s">
        <v>2</v>
      </c>
      <c r="D2" s="18"/>
      <c r="E2" s="18"/>
      <c r="F2" s="18" t="s">
        <v>3</v>
      </c>
      <c r="G2" s="18"/>
      <c r="H2" s="18"/>
      <c r="I2" s="19" t="s">
        <v>4</v>
      </c>
    </row>
    <row r="3" spans="1:9" ht="44.25" customHeight="1">
      <c r="A3" s="15"/>
      <c r="B3" s="17"/>
      <c r="C3" s="1" t="s">
        <v>31</v>
      </c>
      <c r="D3" s="2" t="s">
        <v>5</v>
      </c>
      <c r="E3" s="2" t="s">
        <v>32</v>
      </c>
      <c r="F3" s="1" t="s">
        <v>31</v>
      </c>
      <c r="G3" s="2" t="s">
        <v>5</v>
      </c>
      <c r="H3" s="2" t="s">
        <v>32</v>
      </c>
      <c r="I3" s="20"/>
    </row>
    <row r="4" spans="1:9" ht="16.5" customHeight="1">
      <c r="A4" s="23" t="s">
        <v>6</v>
      </c>
      <c r="B4" s="3" t="s">
        <v>7</v>
      </c>
      <c r="C4" s="4">
        <f>11656+2731</f>
        <v>14387</v>
      </c>
      <c r="D4" s="4">
        <f>104+481+55</f>
        <v>640</v>
      </c>
      <c r="E4" s="9">
        <f aca="true" t="shared" si="0" ref="E4:E21">C4/D4</f>
        <v>22.4796875</v>
      </c>
      <c r="F4" s="4">
        <v>0</v>
      </c>
      <c r="G4" s="4">
        <v>0</v>
      </c>
      <c r="H4" s="9">
        <v>0</v>
      </c>
      <c r="I4" s="9">
        <f aca="true" t="shared" si="1" ref="I4:I32">(C4+F4)/(D4+G4)</f>
        <v>22.4796875</v>
      </c>
    </row>
    <row r="5" spans="1:9" ht="16.5" customHeight="1">
      <c r="A5" s="24"/>
      <c r="B5" s="3" t="s">
        <v>34</v>
      </c>
      <c r="C5" s="4">
        <f>4771+12800</f>
        <v>17571</v>
      </c>
      <c r="D5" s="4">
        <f>57+93+528</f>
        <v>678</v>
      </c>
      <c r="E5" s="9">
        <f t="shared" si="0"/>
        <v>25.91592920353982</v>
      </c>
      <c r="F5" s="4">
        <v>0</v>
      </c>
      <c r="G5" s="4">
        <v>0</v>
      </c>
      <c r="H5" s="9">
        <v>0</v>
      </c>
      <c r="I5" s="9">
        <f t="shared" si="1"/>
        <v>25.91592920353982</v>
      </c>
    </row>
    <row r="6" spans="1:9" ht="16.5" customHeight="1">
      <c r="A6" s="24"/>
      <c r="B6" s="3" t="s">
        <v>9</v>
      </c>
      <c r="C6" s="4">
        <f>743+9161</f>
        <v>9904</v>
      </c>
      <c r="D6" s="4">
        <f>88+492</f>
        <v>580</v>
      </c>
      <c r="E6" s="9">
        <f t="shared" si="0"/>
        <v>17.075862068965517</v>
      </c>
      <c r="F6" s="4">
        <v>0</v>
      </c>
      <c r="G6" s="4">
        <v>0</v>
      </c>
      <c r="H6" s="9">
        <v>0</v>
      </c>
      <c r="I6" s="9">
        <f t="shared" si="1"/>
        <v>17.075862068965517</v>
      </c>
    </row>
    <row r="7" spans="1:9" ht="16.5" customHeight="1">
      <c r="A7" s="24"/>
      <c r="B7" s="3" t="s">
        <v>13</v>
      </c>
      <c r="C7" s="4">
        <f>383+8009</f>
        <v>8392</v>
      </c>
      <c r="D7" s="4">
        <v>436</v>
      </c>
      <c r="E7" s="9">
        <f t="shared" si="0"/>
        <v>19.24770642201835</v>
      </c>
      <c r="F7" s="4">
        <f>134+1791</f>
        <v>1925</v>
      </c>
      <c r="G7" s="4">
        <v>346</v>
      </c>
      <c r="H7" s="9">
        <f>F7/G7</f>
        <v>5.563583815028902</v>
      </c>
      <c r="I7" s="9">
        <f t="shared" si="1"/>
        <v>13.19309462915601</v>
      </c>
    </row>
    <row r="8" spans="1:9" ht="16.5" customHeight="1">
      <c r="A8" s="24"/>
      <c r="B8" s="3" t="s">
        <v>10</v>
      </c>
      <c r="C8" s="4">
        <f>480+5916</f>
        <v>6396</v>
      </c>
      <c r="D8" s="4">
        <v>260</v>
      </c>
      <c r="E8" s="9">
        <f t="shared" si="0"/>
        <v>24.6</v>
      </c>
      <c r="F8" s="4">
        <f>128+806</f>
        <v>934</v>
      </c>
      <c r="G8" s="4">
        <v>194</v>
      </c>
      <c r="H8" s="9">
        <f>F8/G8</f>
        <v>4.814432989690721</v>
      </c>
      <c r="I8" s="9">
        <f t="shared" si="1"/>
        <v>16.145374449339208</v>
      </c>
    </row>
    <row r="9" spans="1:9" ht="16.5" customHeight="1">
      <c r="A9" s="24"/>
      <c r="B9" s="3" t="s">
        <v>29</v>
      </c>
      <c r="C9" s="4">
        <f>81+4079</f>
        <v>4160</v>
      </c>
      <c r="D9" s="4">
        <v>280</v>
      </c>
      <c r="E9" s="9">
        <f t="shared" si="0"/>
        <v>14.857142857142858</v>
      </c>
      <c r="F9" s="4">
        <f>243+223</f>
        <v>466</v>
      </c>
      <c r="G9" s="4">
        <v>164</v>
      </c>
      <c r="H9" s="9">
        <f>F9/G9</f>
        <v>2.841463414634146</v>
      </c>
      <c r="I9" s="9">
        <f t="shared" si="1"/>
        <v>10.41891891891892</v>
      </c>
    </row>
    <row r="10" spans="1:9" ht="16.5" customHeight="1">
      <c r="A10" s="24"/>
      <c r="B10" s="3" t="s">
        <v>11</v>
      </c>
      <c r="C10" s="4">
        <v>55</v>
      </c>
      <c r="D10" s="4">
        <v>5</v>
      </c>
      <c r="E10" s="9">
        <f t="shared" si="0"/>
        <v>11</v>
      </c>
      <c r="F10" s="4">
        <v>0</v>
      </c>
      <c r="G10" s="4">
        <v>0</v>
      </c>
      <c r="H10" s="9">
        <v>0</v>
      </c>
      <c r="I10" s="9">
        <f t="shared" si="1"/>
        <v>11</v>
      </c>
    </row>
    <row r="11" spans="1:9" ht="16.5" customHeight="1">
      <c r="A11" s="24"/>
      <c r="B11" s="3" t="s">
        <v>35</v>
      </c>
      <c r="C11" s="4">
        <f>35+267</f>
        <v>302</v>
      </c>
      <c r="D11" s="4">
        <v>35</v>
      </c>
      <c r="E11" s="9">
        <f t="shared" si="0"/>
        <v>8.628571428571428</v>
      </c>
      <c r="F11" s="4">
        <f>12+94</f>
        <v>106</v>
      </c>
      <c r="G11" s="4">
        <v>68</v>
      </c>
      <c r="H11" s="9">
        <f>F11/G11</f>
        <v>1.5588235294117647</v>
      </c>
      <c r="I11" s="9">
        <f t="shared" si="1"/>
        <v>3.9611650485436893</v>
      </c>
    </row>
    <row r="12" spans="1:9" ht="16.5" customHeight="1">
      <c r="A12" s="24"/>
      <c r="B12" s="3" t="s">
        <v>8</v>
      </c>
      <c r="C12" s="4">
        <f>12+116</f>
        <v>128</v>
      </c>
      <c r="D12" s="4">
        <v>22</v>
      </c>
      <c r="E12" s="9">
        <f t="shared" si="0"/>
        <v>5.818181818181818</v>
      </c>
      <c r="F12" s="4">
        <v>0</v>
      </c>
      <c r="G12" s="4">
        <v>0</v>
      </c>
      <c r="H12" s="9">
        <v>0</v>
      </c>
      <c r="I12" s="9">
        <f t="shared" si="1"/>
        <v>5.818181818181818</v>
      </c>
    </row>
    <row r="13" spans="1:9" ht="16.5" customHeight="1">
      <c r="A13" s="24"/>
      <c r="B13" s="1" t="s">
        <v>37</v>
      </c>
      <c r="C13" s="4">
        <v>114</v>
      </c>
      <c r="D13" s="4">
        <v>10</v>
      </c>
      <c r="E13" s="9">
        <f t="shared" si="0"/>
        <v>11.4</v>
      </c>
      <c r="F13" s="4">
        <v>0</v>
      </c>
      <c r="G13" s="4">
        <v>0</v>
      </c>
      <c r="H13" s="9">
        <v>0</v>
      </c>
      <c r="I13" s="9">
        <f t="shared" si="1"/>
        <v>11.4</v>
      </c>
    </row>
    <row r="14" spans="1:9" ht="16.5" customHeight="1">
      <c r="A14" s="24"/>
      <c r="B14" s="1" t="s">
        <v>12</v>
      </c>
      <c r="C14" s="4">
        <v>156</v>
      </c>
      <c r="D14" s="4">
        <v>11</v>
      </c>
      <c r="E14" s="9">
        <f t="shared" si="0"/>
        <v>14.181818181818182</v>
      </c>
      <c r="F14" s="4">
        <v>0</v>
      </c>
      <c r="G14" s="4">
        <v>0</v>
      </c>
      <c r="H14" s="9">
        <v>0</v>
      </c>
      <c r="I14" s="9">
        <f t="shared" si="1"/>
        <v>14.181818181818182</v>
      </c>
    </row>
    <row r="15" spans="1:9" ht="16.5" customHeight="1">
      <c r="A15" s="24"/>
      <c r="B15" s="1" t="s">
        <v>27</v>
      </c>
      <c r="C15" s="4">
        <v>12</v>
      </c>
      <c r="D15" s="4">
        <v>6</v>
      </c>
      <c r="E15" s="9">
        <f t="shared" si="0"/>
        <v>2</v>
      </c>
      <c r="F15" s="4">
        <v>0</v>
      </c>
      <c r="G15" s="4">
        <v>0</v>
      </c>
      <c r="H15" s="9">
        <v>0</v>
      </c>
      <c r="I15" s="9">
        <f t="shared" si="1"/>
        <v>2</v>
      </c>
    </row>
    <row r="16" spans="1:9" ht="16.5" customHeight="1">
      <c r="A16" s="24"/>
      <c r="B16" s="1" t="s">
        <v>36</v>
      </c>
      <c r="C16" s="4">
        <v>76</v>
      </c>
      <c r="D16" s="4">
        <v>15</v>
      </c>
      <c r="E16" s="9">
        <f t="shared" si="0"/>
        <v>5.066666666666666</v>
      </c>
      <c r="F16" s="4">
        <v>0</v>
      </c>
      <c r="G16" s="4">
        <v>0</v>
      </c>
      <c r="H16" s="9">
        <v>0</v>
      </c>
      <c r="I16" s="9">
        <f t="shared" si="1"/>
        <v>5.066666666666666</v>
      </c>
    </row>
    <row r="17" spans="1:9" ht="16.5" customHeight="1">
      <c r="A17" s="24"/>
      <c r="B17" s="1" t="s">
        <v>30</v>
      </c>
      <c r="C17" s="4">
        <v>141</v>
      </c>
      <c r="D17" s="4">
        <v>17</v>
      </c>
      <c r="E17" s="9">
        <f t="shared" si="0"/>
        <v>8.294117647058824</v>
      </c>
      <c r="F17" s="4">
        <v>0</v>
      </c>
      <c r="G17" s="4">
        <v>0</v>
      </c>
      <c r="H17" s="9">
        <v>0</v>
      </c>
      <c r="I17" s="9">
        <f t="shared" si="1"/>
        <v>8.294117647058824</v>
      </c>
    </row>
    <row r="18" spans="1:9" ht="16.5" customHeight="1">
      <c r="A18" s="25"/>
      <c r="B18" s="5" t="s">
        <v>14</v>
      </c>
      <c r="C18" s="6">
        <f>SUM(C4:C17)</f>
        <v>61794</v>
      </c>
      <c r="D18" s="6">
        <f>SUM(D4:D17)</f>
        <v>2995</v>
      </c>
      <c r="E18" s="10">
        <f t="shared" si="0"/>
        <v>20.632387312186978</v>
      </c>
      <c r="F18" s="6">
        <f>SUM(F4:F17)</f>
        <v>3431</v>
      </c>
      <c r="G18" s="6">
        <f>SUM(G4:G17)</f>
        <v>772</v>
      </c>
      <c r="H18" s="10">
        <f>F18/G18</f>
        <v>4.444300518134715</v>
      </c>
      <c r="I18" s="10">
        <f t="shared" si="1"/>
        <v>17.314839394743828</v>
      </c>
    </row>
    <row r="19" spans="1:9" ht="16.5" customHeight="1">
      <c r="A19" s="26" t="s">
        <v>15</v>
      </c>
      <c r="B19" s="3" t="s">
        <v>16</v>
      </c>
      <c r="C19" s="4">
        <f>1706+14205</f>
        <v>15911</v>
      </c>
      <c r="D19" s="4">
        <f>273+474+10</f>
        <v>757</v>
      </c>
      <c r="E19" s="9">
        <f t="shared" si="0"/>
        <v>21.018494055482165</v>
      </c>
      <c r="F19" s="4">
        <f>1163+10910</f>
        <v>12073</v>
      </c>
      <c r="G19" s="4">
        <f>408+1070</f>
        <v>1478</v>
      </c>
      <c r="H19" s="9">
        <f>F19/G19</f>
        <v>8.168470906630581</v>
      </c>
      <c r="I19" s="9">
        <f t="shared" si="1"/>
        <v>12.520805369127517</v>
      </c>
    </row>
    <row r="20" spans="1:9" ht="16.5" customHeight="1">
      <c r="A20" s="24"/>
      <c r="B20" s="3" t="s">
        <v>33</v>
      </c>
      <c r="C20" s="4">
        <f>806+12786</f>
        <v>13592</v>
      </c>
      <c r="D20" s="4">
        <v>630</v>
      </c>
      <c r="E20" s="9">
        <f t="shared" si="0"/>
        <v>21.574603174603176</v>
      </c>
      <c r="F20" s="4">
        <f>78+1663</f>
        <v>1741</v>
      </c>
      <c r="G20" s="4">
        <v>284</v>
      </c>
      <c r="H20" s="9">
        <f>F20/G20</f>
        <v>6.130281690140845</v>
      </c>
      <c r="I20" s="9">
        <f t="shared" si="1"/>
        <v>16.77571115973742</v>
      </c>
    </row>
    <row r="21" spans="1:9" ht="16.5" customHeight="1">
      <c r="A21" s="24"/>
      <c r="B21" s="3" t="s">
        <v>19</v>
      </c>
      <c r="C21" s="4">
        <f>9+1117</f>
        <v>1126</v>
      </c>
      <c r="D21" s="4">
        <v>54</v>
      </c>
      <c r="E21" s="9">
        <f t="shared" si="0"/>
        <v>20.85185185185185</v>
      </c>
      <c r="F21" s="4">
        <f>142+470</f>
        <v>612</v>
      </c>
      <c r="G21" s="4">
        <v>129</v>
      </c>
      <c r="H21" s="9">
        <f>F21/G21</f>
        <v>4.744186046511628</v>
      </c>
      <c r="I21" s="9">
        <f t="shared" si="1"/>
        <v>9.497267759562842</v>
      </c>
    </row>
    <row r="22" spans="1:9" ht="16.5" customHeight="1">
      <c r="A22" s="24"/>
      <c r="B22" s="3" t="s">
        <v>17</v>
      </c>
      <c r="C22" s="4">
        <f>3+98</f>
        <v>101</v>
      </c>
      <c r="D22" s="4">
        <v>39</v>
      </c>
      <c r="E22" s="9">
        <f aca="true" t="shared" si="2" ref="E22:E32">C22/D22</f>
        <v>2.58974358974359</v>
      </c>
      <c r="F22" s="4">
        <v>563</v>
      </c>
      <c r="G22" s="4">
        <v>109</v>
      </c>
      <c r="H22" s="9">
        <v>0</v>
      </c>
      <c r="I22" s="9">
        <f t="shared" si="1"/>
        <v>4.486486486486487</v>
      </c>
    </row>
    <row r="23" spans="1:9" ht="16.5" customHeight="1">
      <c r="A23" s="24"/>
      <c r="B23" s="1" t="s">
        <v>18</v>
      </c>
      <c r="C23" s="4">
        <v>181</v>
      </c>
      <c r="D23" s="4">
        <v>23</v>
      </c>
      <c r="E23" s="9">
        <f t="shared" si="2"/>
        <v>7.869565217391305</v>
      </c>
      <c r="F23" s="4">
        <f>19+197</f>
        <v>216</v>
      </c>
      <c r="G23" s="4">
        <v>61</v>
      </c>
      <c r="H23" s="9">
        <v>0</v>
      </c>
      <c r="I23" s="9">
        <f t="shared" si="1"/>
        <v>4.726190476190476</v>
      </c>
    </row>
    <row r="24" spans="1:9" ht="16.5" customHeight="1">
      <c r="A24" s="25"/>
      <c r="B24" s="5" t="s">
        <v>14</v>
      </c>
      <c r="C24" s="6">
        <f>SUM(C19:C23)</f>
        <v>30911</v>
      </c>
      <c r="D24" s="6">
        <f>SUM(D19:D23)</f>
        <v>1503</v>
      </c>
      <c r="E24" s="10">
        <f t="shared" si="2"/>
        <v>20.56620093147039</v>
      </c>
      <c r="F24" s="6">
        <f>SUM(F19:F23)</f>
        <v>15205</v>
      </c>
      <c r="G24" s="6">
        <f>SUM(G19:G23)</f>
        <v>2061</v>
      </c>
      <c r="H24" s="10">
        <f>F24/G24</f>
        <v>7.377486656962639</v>
      </c>
      <c r="I24" s="10">
        <f t="shared" si="1"/>
        <v>12.93939393939394</v>
      </c>
    </row>
    <row r="25" spans="1:9" ht="16.5" customHeight="1">
      <c r="A25" s="27" t="s">
        <v>20</v>
      </c>
      <c r="B25" s="3" t="s">
        <v>22</v>
      </c>
      <c r="C25" s="4">
        <f>672+9991</f>
        <v>10663</v>
      </c>
      <c r="D25" s="4">
        <v>461</v>
      </c>
      <c r="E25" s="9">
        <f t="shared" si="2"/>
        <v>23.13015184381779</v>
      </c>
      <c r="F25" s="4">
        <f>85+1225</f>
        <v>1310</v>
      </c>
      <c r="G25" s="4">
        <v>171</v>
      </c>
      <c r="H25" s="9">
        <f>F25/G25</f>
        <v>7.6608187134502925</v>
      </c>
      <c r="I25" s="9">
        <f t="shared" si="1"/>
        <v>18.944620253164558</v>
      </c>
    </row>
    <row r="26" spans="1:9" ht="16.5" customHeight="1">
      <c r="A26" s="24"/>
      <c r="B26" s="3" t="s">
        <v>23</v>
      </c>
      <c r="C26" s="4">
        <f>192+6224</f>
        <v>6416</v>
      </c>
      <c r="D26" s="4">
        <v>429</v>
      </c>
      <c r="E26" s="9">
        <f t="shared" si="2"/>
        <v>14.955710955710956</v>
      </c>
      <c r="F26" s="4">
        <f>507+715</f>
        <v>1222</v>
      </c>
      <c r="G26" s="4">
        <v>181</v>
      </c>
      <c r="H26" s="9">
        <f>F26/G26</f>
        <v>6.751381215469613</v>
      </c>
      <c r="I26" s="9">
        <f t="shared" si="1"/>
        <v>12.521311475409837</v>
      </c>
    </row>
    <row r="27" spans="1:9" ht="16.5" customHeight="1">
      <c r="A27" s="24"/>
      <c r="B27" s="3" t="s">
        <v>21</v>
      </c>
      <c r="C27" s="4">
        <f>577+7434</f>
        <v>8011</v>
      </c>
      <c r="D27" s="4">
        <v>449</v>
      </c>
      <c r="E27" s="9">
        <f t="shared" si="2"/>
        <v>17.84187082405345</v>
      </c>
      <c r="F27" s="4">
        <f>16+587</f>
        <v>603</v>
      </c>
      <c r="G27" s="4">
        <v>137</v>
      </c>
      <c r="H27" s="9">
        <f>F27/G27</f>
        <v>4.401459854014599</v>
      </c>
      <c r="I27" s="9">
        <f t="shared" si="1"/>
        <v>14.699658703071673</v>
      </c>
    </row>
    <row r="28" spans="1:9" ht="16.5" customHeight="1">
      <c r="A28" s="24"/>
      <c r="B28" s="3" t="s">
        <v>25</v>
      </c>
      <c r="C28" s="4">
        <f>278+9452</f>
        <v>9730</v>
      </c>
      <c r="D28" s="4">
        <v>581</v>
      </c>
      <c r="E28" s="9">
        <f t="shared" si="2"/>
        <v>16.746987951807228</v>
      </c>
      <c r="F28" s="4">
        <f>19+393</f>
        <v>412</v>
      </c>
      <c r="G28" s="4">
        <v>175</v>
      </c>
      <c r="H28" s="9">
        <f>F28/G28</f>
        <v>2.354285714285714</v>
      </c>
      <c r="I28" s="9">
        <f t="shared" si="1"/>
        <v>13.415343915343914</v>
      </c>
    </row>
    <row r="29" spans="1:9" ht="16.5" customHeight="1">
      <c r="A29" s="24"/>
      <c r="B29" s="3" t="s">
        <v>24</v>
      </c>
      <c r="C29" s="4">
        <f>96+1926</f>
        <v>2022</v>
      </c>
      <c r="D29" s="4">
        <v>243</v>
      </c>
      <c r="E29" s="9">
        <f t="shared" si="2"/>
        <v>8.320987654320987</v>
      </c>
      <c r="F29" s="4">
        <f>13+377</f>
        <v>390</v>
      </c>
      <c r="G29" s="4">
        <v>86</v>
      </c>
      <c r="H29" s="9">
        <v>0</v>
      </c>
      <c r="I29" s="9">
        <f t="shared" si="1"/>
        <v>7.331306990881459</v>
      </c>
    </row>
    <row r="30" spans="1:9" ht="16.5" customHeight="1">
      <c r="A30" s="24"/>
      <c r="B30" s="1" t="s">
        <v>28</v>
      </c>
      <c r="C30" s="4">
        <f>5+399</f>
        <v>404</v>
      </c>
      <c r="D30" s="4">
        <v>43</v>
      </c>
      <c r="E30" s="9">
        <f t="shared" si="2"/>
        <v>9.395348837209303</v>
      </c>
      <c r="F30" s="4">
        <v>62</v>
      </c>
      <c r="G30" s="4">
        <v>65</v>
      </c>
      <c r="H30" s="9">
        <f>F30/G30</f>
        <v>0.9538461538461539</v>
      </c>
      <c r="I30" s="9">
        <f t="shared" si="1"/>
        <v>4.314814814814815</v>
      </c>
    </row>
    <row r="31" spans="1:9" ht="16.5" customHeight="1">
      <c r="A31" s="25"/>
      <c r="B31" s="5" t="s">
        <v>14</v>
      </c>
      <c r="C31" s="6">
        <f>SUM(C25:C30)</f>
        <v>37246</v>
      </c>
      <c r="D31" s="6">
        <f>SUM(D25:D30)</f>
        <v>2206</v>
      </c>
      <c r="E31" s="10">
        <f t="shared" si="2"/>
        <v>16.88395285584769</v>
      </c>
      <c r="F31" s="6">
        <f>SUM(F25:F30)</f>
        <v>3999</v>
      </c>
      <c r="G31" s="6">
        <f>SUM(G25:G30)</f>
        <v>815</v>
      </c>
      <c r="H31" s="10">
        <f>F31/G31</f>
        <v>4.906748466257668</v>
      </c>
      <c r="I31" s="10">
        <f t="shared" si="1"/>
        <v>13.652763985435286</v>
      </c>
    </row>
    <row r="32" spans="1:9" ht="22.5" customHeight="1">
      <c r="A32" s="28" t="s">
        <v>26</v>
      </c>
      <c r="B32" s="29"/>
      <c r="C32" s="7">
        <f>C18+C24+C31</f>
        <v>129951</v>
      </c>
      <c r="D32" s="7">
        <f>D18+D24+D31</f>
        <v>6704</v>
      </c>
      <c r="E32" s="11">
        <f t="shared" si="2"/>
        <v>19.384099045346062</v>
      </c>
      <c r="F32" s="7">
        <f>F18+F24+F31</f>
        <v>22635</v>
      </c>
      <c r="G32" s="7">
        <f>G18+G24+G31</f>
        <v>3648</v>
      </c>
      <c r="H32" s="11">
        <f>F32/G32</f>
        <v>6.204769736842105</v>
      </c>
      <c r="I32" s="11">
        <f t="shared" si="1"/>
        <v>14.739760432766616</v>
      </c>
    </row>
    <row r="33" ht="19.5" customHeight="1"/>
    <row r="34" spans="1:9" ht="16.5">
      <c r="A34" s="21" t="s">
        <v>39</v>
      </c>
      <c r="B34" s="22"/>
      <c r="C34" s="22"/>
      <c r="D34" s="22"/>
      <c r="E34" s="22"/>
      <c r="F34" s="22"/>
      <c r="G34" s="22"/>
      <c r="H34" s="22"/>
      <c r="I34" s="22"/>
    </row>
  </sheetData>
  <sheetProtection/>
  <mergeCells count="11">
    <mergeCell ref="A34:I34"/>
    <mergeCell ref="A4:A18"/>
    <mergeCell ref="A19:A24"/>
    <mergeCell ref="A25:A31"/>
    <mergeCell ref="A32:B32"/>
    <mergeCell ref="A1:I1"/>
    <mergeCell ref="A2:A3"/>
    <mergeCell ref="B2:B3"/>
    <mergeCell ref="C2:E2"/>
    <mergeCell ref="F2:H2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F7" sqref="F7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</cols>
  <sheetData>
    <row r="1" spans="1:9" ht="25.5">
      <c r="A1" s="12" t="s">
        <v>40</v>
      </c>
      <c r="B1" s="12"/>
      <c r="C1" s="12"/>
      <c r="D1" s="12"/>
      <c r="E1" s="12"/>
      <c r="F1" s="12"/>
      <c r="G1" s="12"/>
      <c r="H1" s="12"/>
      <c r="I1" s="13"/>
    </row>
    <row r="2" spans="1:9" ht="21">
      <c r="A2" s="14" t="s">
        <v>0</v>
      </c>
      <c r="B2" s="16" t="s">
        <v>1</v>
      </c>
      <c r="C2" s="18" t="s">
        <v>2</v>
      </c>
      <c r="D2" s="18"/>
      <c r="E2" s="18"/>
      <c r="F2" s="18" t="s">
        <v>3</v>
      </c>
      <c r="G2" s="18"/>
      <c r="H2" s="18"/>
      <c r="I2" s="19" t="s">
        <v>4</v>
      </c>
    </row>
    <row r="3" spans="1:9" ht="43.5" customHeight="1">
      <c r="A3" s="15"/>
      <c r="B3" s="17"/>
      <c r="C3" s="1" t="s">
        <v>31</v>
      </c>
      <c r="D3" s="2" t="s">
        <v>5</v>
      </c>
      <c r="E3" s="2" t="s">
        <v>32</v>
      </c>
      <c r="F3" s="1" t="s">
        <v>31</v>
      </c>
      <c r="G3" s="2" t="s">
        <v>5</v>
      </c>
      <c r="H3" s="2" t="s">
        <v>32</v>
      </c>
      <c r="I3" s="20"/>
    </row>
    <row r="4" spans="1:9" ht="16.5">
      <c r="A4" s="23" t="s">
        <v>6</v>
      </c>
      <c r="B4" s="3" t="s">
        <v>7</v>
      </c>
      <c r="C4" s="4">
        <f>4407+17224</f>
        <v>21631</v>
      </c>
      <c r="D4" s="4">
        <v>612</v>
      </c>
      <c r="E4" s="9">
        <f aca="true" t="shared" si="0" ref="E4:E20">C4/D4</f>
        <v>35.34477124183007</v>
      </c>
      <c r="F4" s="4">
        <v>0</v>
      </c>
      <c r="G4" s="4">
        <v>0</v>
      </c>
      <c r="H4" s="9">
        <v>0</v>
      </c>
      <c r="I4" s="9">
        <f aca="true" t="shared" si="1" ref="I4:I32">(C4+F4)/(D4+G4)</f>
        <v>35.34477124183007</v>
      </c>
    </row>
    <row r="5" spans="1:9" ht="16.5">
      <c r="A5" s="24"/>
      <c r="B5" s="3" t="s">
        <v>34</v>
      </c>
      <c r="C5" s="4">
        <f>6399+16033</f>
        <v>22432</v>
      </c>
      <c r="D5" s="4">
        <v>655</v>
      </c>
      <c r="E5" s="9">
        <f t="shared" si="0"/>
        <v>34.24732824427481</v>
      </c>
      <c r="F5" s="4">
        <v>0</v>
      </c>
      <c r="G5" s="4">
        <v>0</v>
      </c>
      <c r="H5" s="9">
        <v>0</v>
      </c>
      <c r="I5" s="9">
        <f t="shared" si="1"/>
        <v>34.24732824427481</v>
      </c>
    </row>
    <row r="6" spans="1:9" ht="16.5">
      <c r="A6" s="24"/>
      <c r="B6" s="3" t="s">
        <v>9</v>
      </c>
      <c r="C6" s="4">
        <f>1744+10234</f>
        <v>11978</v>
      </c>
      <c r="D6" s="4">
        <v>566</v>
      </c>
      <c r="E6" s="9">
        <f t="shared" si="0"/>
        <v>21.16254416961131</v>
      </c>
      <c r="F6" s="4">
        <v>0</v>
      </c>
      <c r="G6" s="4">
        <v>0</v>
      </c>
      <c r="H6" s="9">
        <v>0</v>
      </c>
      <c r="I6" s="9">
        <f t="shared" si="1"/>
        <v>21.16254416961131</v>
      </c>
    </row>
    <row r="7" spans="1:9" ht="16.5">
      <c r="A7" s="24"/>
      <c r="B7" s="3" t="s">
        <v>13</v>
      </c>
      <c r="C7" s="4">
        <f>309+6094</f>
        <v>6403</v>
      </c>
      <c r="D7" s="4">
        <v>430</v>
      </c>
      <c r="E7" s="9">
        <f t="shared" si="0"/>
        <v>14.890697674418604</v>
      </c>
      <c r="F7" s="4">
        <f>46+1456</f>
        <v>1502</v>
      </c>
      <c r="G7" s="4">
        <v>311</v>
      </c>
      <c r="H7" s="9">
        <f>F7/G7</f>
        <v>4.829581993569132</v>
      </c>
      <c r="I7" s="9">
        <f t="shared" si="1"/>
        <v>10.668016194331983</v>
      </c>
    </row>
    <row r="8" spans="1:9" ht="16.5">
      <c r="A8" s="24"/>
      <c r="B8" s="3" t="s">
        <v>10</v>
      </c>
      <c r="C8" s="4">
        <f>808+4766</f>
        <v>5574</v>
      </c>
      <c r="D8" s="4">
        <v>251</v>
      </c>
      <c r="E8" s="9">
        <f t="shared" si="0"/>
        <v>22.207171314741036</v>
      </c>
      <c r="F8" s="4">
        <f>98+759</f>
        <v>857</v>
      </c>
      <c r="G8" s="4">
        <v>176</v>
      </c>
      <c r="H8" s="9">
        <f>F8/G8</f>
        <v>4.869318181818182</v>
      </c>
      <c r="I8" s="9">
        <f t="shared" si="1"/>
        <v>15.06088992974239</v>
      </c>
    </row>
    <row r="9" spans="1:9" ht="16.5">
      <c r="A9" s="24"/>
      <c r="B9" s="3" t="s">
        <v>29</v>
      </c>
      <c r="C9" s="4">
        <f>51+3673</f>
        <v>3724</v>
      </c>
      <c r="D9" s="4">
        <v>265</v>
      </c>
      <c r="E9" s="9">
        <f t="shared" si="0"/>
        <v>14.052830188679245</v>
      </c>
      <c r="F9" s="4">
        <f>58+406</f>
        <v>464</v>
      </c>
      <c r="G9" s="4">
        <v>101</v>
      </c>
      <c r="H9" s="9">
        <f>F9/G9</f>
        <v>4.594059405940594</v>
      </c>
      <c r="I9" s="9">
        <f t="shared" si="1"/>
        <v>11.442622950819672</v>
      </c>
    </row>
    <row r="10" spans="1:9" ht="16.5">
      <c r="A10" s="24"/>
      <c r="B10" s="3" t="s">
        <v>11</v>
      </c>
      <c r="C10" s="4">
        <f>0+46</f>
        <v>46</v>
      </c>
      <c r="D10" s="4">
        <v>5</v>
      </c>
      <c r="E10" s="9">
        <f t="shared" si="0"/>
        <v>9.2</v>
      </c>
      <c r="F10" s="4">
        <v>0</v>
      </c>
      <c r="G10" s="4">
        <v>0</v>
      </c>
      <c r="H10" s="9">
        <v>0</v>
      </c>
      <c r="I10" s="9">
        <f t="shared" si="1"/>
        <v>9.2</v>
      </c>
    </row>
    <row r="11" spans="1:9" ht="16.5">
      <c r="A11" s="24"/>
      <c r="B11" s="3" t="s">
        <v>35</v>
      </c>
      <c r="C11" s="4">
        <f>158+237</f>
        <v>395</v>
      </c>
      <c r="D11" s="4">
        <v>35</v>
      </c>
      <c r="E11" s="9">
        <f t="shared" si="0"/>
        <v>11.285714285714286</v>
      </c>
      <c r="F11" s="4">
        <f>21+149</f>
        <v>170</v>
      </c>
      <c r="G11" s="4">
        <v>65</v>
      </c>
      <c r="H11" s="9">
        <f>F11/G11</f>
        <v>2.6153846153846154</v>
      </c>
      <c r="I11" s="9">
        <f t="shared" si="1"/>
        <v>5.65</v>
      </c>
    </row>
    <row r="12" spans="1:9" ht="16.5">
      <c r="A12" s="24"/>
      <c r="B12" s="3" t="s">
        <v>8</v>
      </c>
      <c r="C12" s="4">
        <f>63+102</f>
        <v>165</v>
      </c>
      <c r="D12" s="4">
        <v>18</v>
      </c>
      <c r="E12" s="9">
        <f t="shared" si="0"/>
        <v>9.166666666666666</v>
      </c>
      <c r="F12" s="4">
        <v>0</v>
      </c>
      <c r="G12" s="4">
        <v>0</v>
      </c>
      <c r="H12" s="9">
        <v>0</v>
      </c>
      <c r="I12" s="9">
        <f t="shared" si="1"/>
        <v>9.166666666666666</v>
      </c>
    </row>
    <row r="13" spans="1:9" ht="16.5">
      <c r="A13" s="24"/>
      <c r="B13" s="1" t="s">
        <v>37</v>
      </c>
      <c r="C13" s="4">
        <f>0+91</f>
        <v>91</v>
      </c>
      <c r="D13" s="4">
        <v>9</v>
      </c>
      <c r="E13" s="9">
        <f t="shared" si="0"/>
        <v>10.11111111111111</v>
      </c>
      <c r="F13" s="4">
        <v>0</v>
      </c>
      <c r="G13" s="4">
        <v>0</v>
      </c>
      <c r="H13" s="9">
        <v>0</v>
      </c>
      <c r="I13" s="9">
        <f t="shared" si="1"/>
        <v>10.11111111111111</v>
      </c>
    </row>
    <row r="14" spans="1:9" ht="16.5">
      <c r="A14" s="24"/>
      <c r="B14" s="1" t="s">
        <v>12</v>
      </c>
      <c r="C14" s="4">
        <f>1+146</f>
        <v>147</v>
      </c>
      <c r="D14" s="4">
        <v>9</v>
      </c>
      <c r="E14" s="9">
        <f t="shared" si="0"/>
        <v>16.333333333333332</v>
      </c>
      <c r="F14" s="4">
        <v>0</v>
      </c>
      <c r="G14" s="4">
        <v>0</v>
      </c>
      <c r="H14" s="9">
        <v>0</v>
      </c>
      <c r="I14" s="9">
        <f t="shared" si="1"/>
        <v>16.333333333333332</v>
      </c>
    </row>
    <row r="15" spans="1:9" ht="16.5">
      <c r="A15" s="24"/>
      <c r="B15" s="1" t="s">
        <v>27</v>
      </c>
      <c r="C15" s="4">
        <f>0+36</f>
        <v>36</v>
      </c>
      <c r="D15" s="4">
        <v>5</v>
      </c>
      <c r="E15" s="9">
        <f t="shared" si="0"/>
        <v>7.2</v>
      </c>
      <c r="F15" s="4">
        <v>0</v>
      </c>
      <c r="G15" s="4">
        <v>0</v>
      </c>
      <c r="H15" s="9">
        <v>0</v>
      </c>
      <c r="I15" s="9">
        <f t="shared" si="1"/>
        <v>7.2</v>
      </c>
    </row>
    <row r="16" spans="1:9" ht="16.5">
      <c r="A16" s="24"/>
      <c r="B16" s="1" t="s">
        <v>36</v>
      </c>
      <c r="C16" s="4">
        <f>1+36</f>
        <v>37</v>
      </c>
      <c r="D16" s="4">
        <v>14</v>
      </c>
      <c r="E16" s="9">
        <f t="shared" si="0"/>
        <v>2.642857142857143</v>
      </c>
      <c r="F16" s="4">
        <v>0</v>
      </c>
      <c r="G16" s="4">
        <v>0</v>
      </c>
      <c r="H16" s="9">
        <v>0</v>
      </c>
      <c r="I16" s="9">
        <f t="shared" si="1"/>
        <v>2.642857142857143</v>
      </c>
    </row>
    <row r="17" spans="1:9" ht="16.5">
      <c r="A17" s="24"/>
      <c r="B17" s="1" t="s">
        <v>30</v>
      </c>
      <c r="C17" s="4">
        <f>5+143</f>
        <v>148</v>
      </c>
      <c r="D17" s="4">
        <v>15</v>
      </c>
      <c r="E17" s="9">
        <f t="shared" si="0"/>
        <v>9.866666666666667</v>
      </c>
      <c r="F17" s="4">
        <v>0</v>
      </c>
      <c r="G17" s="4">
        <v>0</v>
      </c>
      <c r="H17" s="9">
        <v>0</v>
      </c>
      <c r="I17" s="9">
        <f t="shared" si="1"/>
        <v>9.866666666666667</v>
      </c>
    </row>
    <row r="18" spans="1:9" ht="21">
      <c r="A18" s="25"/>
      <c r="B18" s="5" t="s">
        <v>14</v>
      </c>
      <c r="C18" s="6">
        <f>SUM(C4:C17)</f>
        <v>72807</v>
      </c>
      <c r="D18" s="6">
        <f>SUM(D4:D17)</f>
        <v>2889</v>
      </c>
      <c r="E18" s="10">
        <f t="shared" si="0"/>
        <v>25.201453790238837</v>
      </c>
      <c r="F18" s="6">
        <f>SUM(F4:F17)</f>
        <v>2993</v>
      </c>
      <c r="G18" s="6">
        <f>SUM(G4:G17)</f>
        <v>653</v>
      </c>
      <c r="H18" s="10">
        <f aca="true" t="shared" si="2" ref="H18:H32">F18/G18</f>
        <v>4.583460949464012</v>
      </c>
      <c r="I18" s="10">
        <f t="shared" si="1"/>
        <v>21.40033879164314</v>
      </c>
    </row>
    <row r="19" spans="1:9" ht="16.5">
      <c r="A19" s="26" t="s">
        <v>15</v>
      </c>
      <c r="B19" s="3" t="s">
        <v>16</v>
      </c>
      <c r="C19" s="4">
        <f>2324+13851</f>
        <v>16175</v>
      </c>
      <c r="D19" s="4">
        <v>744</v>
      </c>
      <c r="E19" s="9">
        <f t="shared" si="0"/>
        <v>21.740591397849464</v>
      </c>
      <c r="F19" s="4">
        <f>1554+8304</f>
        <v>9858</v>
      </c>
      <c r="G19" s="4">
        <v>1070</v>
      </c>
      <c r="H19" s="9">
        <f t="shared" si="2"/>
        <v>9.213084112149533</v>
      </c>
      <c r="I19" s="9">
        <f t="shared" si="1"/>
        <v>14.351157662624034</v>
      </c>
    </row>
    <row r="20" spans="1:9" ht="16.5">
      <c r="A20" s="24"/>
      <c r="B20" s="3" t="s">
        <v>33</v>
      </c>
      <c r="C20" s="4">
        <f>529+13113</f>
        <v>13642</v>
      </c>
      <c r="D20" s="4">
        <v>601</v>
      </c>
      <c r="E20" s="9">
        <f t="shared" si="0"/>
        <v>22.69883527454243</v>
      </c>
      <c r="F20" s="4">
        <f>64+1624</f>
        <v>1688</v>
      </c>
      <c r="G20" s="4">
        <v>265</v>
      </c>
      <c r="H20" s="9">
        <f t="shared" si="2"/>
        <v>6.369811320754717</v>
      </c>
      <c r="I20" s="9">
        <f t="shared" si="1"/>
        <v>17.702078521939953</v>
      </c>
    </row>
    <row r="21" spans="1:9" ht="16.5">
      <c r="A21" s="24"/>
      <c r="B21" s="3" t="s">
        <v>19</v>
      </c>
      <c r="C21" s="4">
        <f>2+808</f>
        <v>810</v>
      </c>
      <c r="D21" s="4">
        <v>53</v>
      </c>
      <c r="E21" s="9">
        <v>0</v>
      </c>
      <c r="F21" s="4">
        <f>176+257</f>
        <v>433</v>
      </c>
      <c r="G21" s="4">
        <v>84</v>
      </c>
      <c r="H21" s="9">
        <f t="shared" si="2"/>
        <v>5.154761904761905</v>
      </c>
      <c r="I21" s="9">
        <f t="shared" si="1"/>
        <v>9.072992700729927</v>
      </c>
    </row>
    <row r="22" spans="1:9" ht="16.5">
      <c r="A22" s="24"/>
      <c r="B22" s="3" t="s">
        <v>17</v>
      </c>
      <c r="C22" s="4">
        <f>0+99</f>
        <v>99</v>
      </c>
      <c r="D22" s="4">
        <v>39</v>
      </c>
      <c r="E22" s="9">
        <f aca="true" t="shared" si="3" ref="E22:E32">C22/D22</f>
        <v>2.5384615384615383</v>
      </c>
      <c r="F22" s="4">
        <f>13+362</f>
        <v>375</v>
      </c>
      <c r="G22" s="4">
        <v>98</v>
      </c>
      <c r="H22" s="9">
        <f t="shared" si="2"/>
        <v>3.826530612244898</v>
      </c>
      <c r="I22" s="9">
        <f t="shared" si="1"/>
        <v>3.45985401459854</v>
      </c>
    </row>
    <row r="23" spans="1:9" ht="16.5">
      <c r="A23" s="24"/>
      <c r="B23" s="1" t="s">
        <v>18</v>
      </c>
      <c r="C23" s="4">
        <f>4+156</f>
        <v>160</v>
      </c>
      <c r="D23" s="4">
        <v>23</v>
      </c>
      <c r="E23" s="9">
        <f t="shared" si="3"/>
        <v>6.956521739130435</v>
      </c>
      <c r="F23" s="4">
        <f>13+293</f>
        <v>306</v>
      </c>
      <c r="G23" s="4">
        <v>57</v>
      </c>
      <c r="H23" s="9">
        <f t="shared" si="2"/>
        <v>5.368421052631579</v>
      </c>
      <c r="I23" s="9">
        <f t="shared" si="1"/>
        <v>5.825</v>
      </c>
    </row>
    <row r="24" spans="1:9" ht="21">
      <c r="A24" s="25"/>
      <c r="B24" s="5" t="s">
        <v>14</v>
      </c>
      <c r="C24" s="6">
        <f>SUM(C19:C23)</f>
        <v>30886</v>
      </c>
      <c r="D24" s="6">
        <f>SUM(D19:D23)</f>
        <v>1460</v>
      </c>
      <c r="E24" s="10">
        <f t="shared" si="3"/>
        <v>21.154794520547945</v>
      </c>
      <c r="F24" s="6">
        <f>SUM(F19:F23)</f>
        <v>12660</v>
      </c>
      <c r="G24" s="6">
        <f>SUM(G19:G23)</f>
        <v>1574</v>
      </c>
      <c r="H24" s="10">
        <f t="shared" si="2"/>
        <v>8.043202033036849</v>
      </c>
      <c r="I24" s="10">
        <f t="shared" si="1"/>
        <v>14.352669742913646</v>
      </c>
    </row>
    <row r="25" spans="1:9" ht="16.5">
      <c r="A25" s="27" t="s">
        <v>20</v>
      </c>
      <c r="B25" s="3" t="s">
        <v>22</v>
      </c>
      <c r="C25" s="4">
        <f>617+9476</f>
        <v>10093</v>
      </c>
      <c r="D25" s="4">
        <v>461</v>
      </c>
      <c r="E25" s="9">
        <f t="shared" si="3"/>
        <v>21.893709327548805</v>
      </c>
      <c r="F25" s="4">
        <f>117+1065</f>
        <v>1182</v>
      </c>
      <c r="G25" s="4">
        <v>150</v>
      </c>
      <c r="H25" s="9">
        <f t="shared" si="2"/>
        <v>7.88</v>
      </c>
      <c r="I25" s="9">
        <f t="shared" si="1"/>
        <v>18.453355155482814</v>
      </c>
    </row>
    <row r="26" spans="1:9" ht="16.5">
      <c r="A26" s="24"/>
      <c r="B26" s="3" t="s">
        <v>23</v>
      </c>
      <c r="C26" s="4">
        <f>152+5845</f>
        <v>5997</v>
      </c>
      <c r="D26" s="4">
        <v>418</v>
      </c>
      <c r="E26" s="9">
        <f t="shared" si="3"/>
        <v>14.34688995215311</v>
      </c>
      <c r="F26" s="4">
        <f>549+944</f>
        <v>1493</v>
      </c>
      <c r="G26" s="4">
        <v>169</v>
      </c>
      <c r="H26" s="9">
        <f t="shared" si="2"/>
        <v>8.834319526627219</v>
      </c>
      <c r="I26" s="9">
        <f t="shared" si="1"/>
        <v>12.759795570698467</v>
      </c>
    </row>
    <row r="27" spans="1:9" ht="16.5">
      <c r="A27" s="24"/>
      <c r="B27" s="3" t="s">
        <v>21</v>
      </c>
      <c r="C27" s="4">
        <f>426+5516</f>
        <v>5942</v>
      </c>
      <c r="D27" s="4">
        <v>442</v>
      </c>
      <c r="E27" s="9">
        <f t="shared" si="3"/>
        <v>13.44343891402715</v>
      </c>
      <c r="F27" s="4">
        <f>12+545</f>
        <v>557</v>
      </c>
      <c r="G27" s="4">
        <v>115</v>
      </c>
      <c r="H27" s="9">
        <f t="shared" si="2"/>
        <v>4.843478260869565</v>
      </c>
      <c r="I27" s="9">
        <f t="shared" si="1"/>
        <v>11.66786355475763</v>
      </c>
    </row>
    <row r="28" spans="1:9" ht="16.5">
      <c r="A28" s="24"/>
      <c r="B28" s="3" t="s">
        <v>25</v>
      </c>
      <c r="C28" s="4">
        <f>8121+210</f>
        <v>8331</v>
      </c>
      <c r="D28" s="4">
        <v>566</v>
      </c>
      <c r="E28" s="9">
        <f t="shared" si="3"/>
        <v>14.719081272084805</v>
      </c>
      <c r="F28" s="4">
        <f>3+387</f>
        <v>390</v>
      </c>
      <c r="G28" s="4">
        <v>159</v>
      </c>
      <c r="H28" s="9">
        <f t="shared" si="2"/>
        <v>2.452830188679245</v>
      </c>
      <c r="I28" s="9">
        <f t="shared" si="1"/>
        <v>12.02896551724138</v>
      </c>
    </row>
    <row r="29" spans="1:9" ht="16.5">
      <c r="A29" s="24"/>
      <c r="B29" s="3" t="s">
        <v>24</v>
      </c>
      <c r="C29" s="4">
        <f>227+2145</f>
        <v>2372</v>
      </c>
      <c r="D29" s="4">
        <v>232</v>
      </c>
      <c r="E29" s="9">
        <f t="shared" si="3"/>
        <v>10.224137931034482</v>
      </c>
      <c r="F29" s="4">
        <f>6+417</f>
        <v>423</v>
      </c>
      <c r="G29" s="4">
        <v>80</v>
      </c>
      <c r="H29" s="9">
        <f t="shared" si="2"/>
        <v>5.2875</v>
      </c>
      <c r="I29" s="9">
        <f t="shared" si="1"/>
        <v>8.958333333333334</v>
      </c>
    </row>
    <row r="30" spans="1:9" ht="16.5">
      <c r="A30" s="24"/>
      <c r="B30" s="1" t="s">
        <v>28</v>
      </c>
      <c r="C30" s="4">
        <f>1+412</f>
        <v>413</v>
      </c>
      <c r="D30" s="4">
        <v>41</v>
      </c>
      <c r="E30" s="9">
        <f t="shared" si="3"/>
        <v>10.073170731707316</v>
      </c>
      <c r="F30" s="4">
        <v>62</v>
      </c>
      <c r="G30" s="4">
        <v>58</v>
      </c>
      <c r="H30" s="9">
        <f t="shared" si="2"/>
        <v>1.0689655172413792</v>
      </c>
      <c r="I30" s="9">
        <f t="shared" si="1"/>
        <v>4.797979797979798</v>
      </c>
    </row>
    <row r="31" spans="1:9" ht="21">
      <c r="A31" s="25"/>
      <c r="B31" s="5" t="s">
        <v>14</v>
      </c>
      <c r="C31" s="6">
        <f>SUM(C25:C30)</f>
        <v>33148</v>
      </c>
      <c r="D31" s="6">
        <f>SUM(D25:D30)</f>
        <v>2160</v>
      </c>
      <c r="E31" s="10">
        <f t="shared" si="3"/>
        <v>15.346296296296297</v>
      </c>
      <c r="F31" s="6">
        <f>SUM(F25:F30)</f>
        <v>4107</v>
      </c>
      <c r="G31" s="6">
        <f>SUM(G25:G30)</f>
        <v>731</v>
      </c>
      <c r="H31" s="10">
        <f t="shared" si="2"/>
        <v>5.618331053351573</v>
      </c>
      <c r="I31" s="10">
        <f t="shared" si="1"/>
        <v>12.88654444828779</v>
      </c>
    </row>
    <row r="32" spans="1:9" ht="27" customHeight="1">
      <c r="A32" s="28" t="s">
        <v>26</v>
      </c>
      <c r="B32" s="29"/>
      <c r="C32" s="7">
        <f>C18+C24+C31</f>
        <v>136841</v>
      </c>
      <c r="D32" s="7">
        <f>D18+D24+D31</f>
        <v>6509</v>
      </c>
      <c r="E32" s="11">
        <f t="shared" si="3"/>
        <v>21.023352281456447</v>
      </c>
      <c r="F32" s="7">
        <f>F18+F24+F31</f>
        <v>19760</v>
      </c>
      <c r="G32" s="7">
        <f>G18+G24+G31</f>
        <v>2958</v>
      </c>
      <c r="H32" s="11">
        <f t="shared" si="2"/>
        <v>6.680189317106152</v>
      </c>
      <c r="I32" s="11">
        <f t="shared" si="1"/>
        <v>16.54177669800359</v>
      </c>
    </row>
    <row r="34" spans="1:9" ht="16.5">
      <c r="A34" s="21" t="s">
        <v>41</v>
      </c>
      <c r="B34" s="22"/>
      <c r="C34" s="22"/>
      <c r="D34" s="22"/>
      <c r="E34" s="22"/>
      <c r="F34" s="22"/>
      <c r="G34" s="22"/>
      <c r="H34" s="22"/>
      <c r="I34" s="22"/>
    </row>
  </sheetData>
  <sheetProtection/>
  <mergeCells count="11">
    <mergeCell ref="A4:A18"/>
    <mergeCell ref="A19:A24"/>
    <mergeCell ref="A25:A31"/>
    <mergeCell ref="A32:B32"/>
    <mergeCell ref="A34:I34"/>
    <mergeCell ref="A1:I1"/>
    <mergeCell ref="A2:A3"/>
    <mergeCell ref="B2:B3"/>
    <mergeCell ref="C2:E2"/>
    <mergeCell ref="F2:H2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user</cp:lastModifiedBy>
  <cp:lastPrinted>2010-02-26T06:36:09Z</cp:lastPrinted>
  <dcterms:created xsi:type="dcterms:W3CDTF">2009-10-14T09:28:22Z</dcterms:created>
  <dcterms:modified xsi:type="dcterms:W3CDTF">2014-04-09T10:10:32Z</dcterms:modified>
  <cp:category/>
  <cp:version/>
  <cp:contentType/>
  <cp:contentStatus/>
</cp:coreProperties>
</file>