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1001" sheetId="1" r:id="rId1"/>
    <sheet name="100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<sst xmlns="http://schemas.openxmlformats.org/spreadsheetml/2006/main" count="143" uniqueCount="81">
  <si>
    <t>讀者類別</t>
  </si>
  <si>
    <t>01.教師</t>
  </si>
  <si>
    <t>02.行政人員</t>
  </si>
  <si>
    <t>03.兼任教師</t>
  </si>
  <si>
    <t>04.代班老師</t>
  </si>
  <si>
    <t>05.教官</t>
  </si>
  <si>
    <t>0.Tol.教職員</t>
  </si>
  <si>
    <t>10.行銷管理系</t>
  </si>
  <si>
    <t>11.醫技系</t>
  </si>
  <si>
    <t>111.環安系</t>
  </si>
  <si>
    <t>115.視光系</t>
  </si>
  <si>
    <t>13.醫務管理系</t>
  </si>
  <si>
    <t>14.護理系</t>
  </si>
  <si>
    <t>15.牙體技術系</t>
  </si>
  <si>
    <t>16.食品科學</t>
  </si>
  <si>
    <t>19.應用外語系</t>
  </si>
  <si>
    <t>1.Tol.日間部</t>
  </si>
  <si>
    <t>40.行銷管理系</t>
  </si>
  <si>
    <t>411.環安系</t>
  </si>
  <si>
    <t>415.視光系</t>
  </si>
  <si>
    <t>43.醫務管理系</t>
  </si>
  <si>
    <t>44.護理系</t>
  </si>
  <si>
    <t>46.食品科學系</t>
  </si>
  <si>
    <t>48.資訊管理系</t>
  </si>
  <si>
    <t>49.應用外語系</t>
  </si>
  <si>
    <t>4.Tol.進修部</t>
  </si>
  <si>
    <t>514.文教所</t>
  </si>
  <si>
    <t>52.放研所</t>
  </si>
  <si>
    <t>53.健管所</t>
  </si>
  <si>
    <t>54.護研所</t>
  </si>
  <si>
    <t>5.Tol.進修部研究所</t>
  </si>
  <si>
    <t>6.Tol.推廣學分班</t>
  </si>
  <si>
    <t>71.醫生所</t>
  </si>
  <si>
    <t>713.生科所</t>
  </si>
  <si>
    <t>714.文教所</t>
  </si>
  <si>
    <t>716.藥科所</t>
  </si>
  <si>
    <t>73.健管所</t>
  </si>
  <si>
    <t>74.護研所</t>
  </si>
  <si>
    <t>75.醫工所</t>
  </si>
  <si>
    <t>76.食科所</t>
  </si>
  <si>
    <t>7.Tol.研究所</t>
  </si>
  <si>
    <t>82.換證者</t>
  </si>
  <si>
    <t>8.Tol.外賓</t>
  </si>
  <si>
    <t>93.校友</t>
  </si>
  <si>
    <t>9.Tol.其他</t>
  </si>
  <si>
    <t>合計</t>
  </si>
  <si>
    <t>合計</t>
  </si>
  <si>
    <t>06.助理</t>
  </si>
  <si>
    <t>06.工友</t>
  </si>
  <si>
    <t>711.安災所</t>
  </si>
  <si>
    <t>718.醫技所</t>
  </si>
  <si>
    <t>83.中部聯盟</t>
  </si>
  <si>
    <t>94.社區民眾(辦證)</t>
  </si>
  <si>
    <t>418.產二技</t>
  </si>
  <si>
    <t>100/8月</t>
  </si>
  <si>
    <t>100/9月</t>
  </si>
  <si>
    <t>100/10月</t>
  </si>
  <si>
    <t>100/11月</t>
  </si>
  <si>
    <t>100/12月</t>
  </si>
  <si>
    <t>101/1月</t>
  </si>
  <si>
    <t>413.老人照顧系</t>
  </si>
  <si>
    <t>114.老人照顧系</t>
  </si>
  <si>
    <t>112.國企系</t>
  </si>
  <si>
    <t>412.國企系</t>
  </si>
  <si>
    <t>516.長福產業碩專班</t>
  </si>
  <si>
    <t>18.資訊管理系</t>
  </si>
  <si>
    <t>12.醫放系</t>
  </si>
  <si>
    <t>17.兒教系</t>
  </si>
  <si>
    <t>47.兒教系</t>
  </si>
  <si>
    <t>72.醫放所</t>
  </si>
  <si>
    <t>101/2月</t>
  </si>
  <si>
    <t>101/3月</t>
  </si>
  <si>
    <t>101/4月</t>
  </si>
  <si>
    <t>101/5月</t>
  </si>
  <si>
    <t>101/6月</t>
  </si>
  <si>
    <t>101/7月</t>
  </si>
  <si>
    <t>415.視光系</t>
  </si>
  <si>
    <t>514.文教所</t>
  </si>
  <si>
    <t>515.視光所</t>
  </si>
  <si>
    <t>1002中臺科技大學圖書館-進館人次月分類統計表</t>
  </si>
  <si>
    <t>1001中臺科技大學圖書館-進館人次月分類統計表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</si>
</sst>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sz val="9"/>
      <name val="細明體"/>
      <family val="3"/>
    </font>
    <font>
      <b/>
      <sz val="12"/>
      <color indexed="8"/>
      <name val="細明體"/>
      <family val="3"/>
    </font>
    <font>
      <sz val="12"/>
      <color indexed="8"/>
      <name val="細明體"/>
      <family val="3"/>
    </font>
    <font>
      <sz val="12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61"/>
      <name val="新細明體"/>
      <family val="1"/>
    </font>
    <font>
      <b/>
      <sz val="15"/>
      <color indexed="61"/>
      <name val="新細明體"/>
      <family val="1"/>
    </font>
    <font>
      <b/>
      <sz val="13"/>
      <color indexed="61"/>
      <name val="新細明體"/>
      <family val="1"/>
    </font>
    <font>
      <b/>
      <sz val="11"/>
      <color indexed="61"/>
      <name val="新細明體"/>
      <family val="1"/>
    </font>
    <font>
      <sz val="12"/>
      <color indexed="51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color indexed="51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9"/>
      <name val="新細明體"/>
      <family val="1"/>
    </font>
    <font>
      <b/>
      <sz val="12"/>
      <color indexed="62"/>
      <name val="新細明體"/>
      <family val="1"/>
    </font>
    <font>
      <sz val="12"/>
      <color indexed="61"/>
      <name val="新細明體"/>
      <family val="1"/>
    </font>
    <font>
      <i/>
      <sz val="12"/>
      <color indexed="2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10" xfId="33" applyFont="1" applyBorder="1" applyAlignment="1">
      <alignment horizontal="left" vertical="top" wrapText="1" readingOrder="1"/>
      <protection/>
    </xf>
    <xf numFmtId="0" fontId="5" fillId="0" borderId="10" xfId="33" applyFont="1" applyBorder="1" applyAlignment="1">
      <alignment horizontal="center" vertical="top"/>
      <protection/>
    </xf>
    <xf numFmtId="0" fontId="5" fillId="0" borderId="10" xfId="33" applyFont="1" applyBorder="1" applyAlignment="1">
      <alignment horizontal="left" vertical="top" wrapText="1"/>
      <protection/>
    </xf>
    <xf numFmtId="0" fontId="5" fillId="0" borderId="10" xfId="33" applyFont="1" applyBorder="1">
      <alignment vertical="top"/>
      <protection/>
    </xf>
    <xf numFmtId="0" fontId="5" fillId="33" borderId="10" xfId="33" applyFont="1" applyFill="1" applyBorder="1" applyAlignment="1">
      <alignment horizontal="left" vertical="top" wrapText="1"/>
      <protection/>
    </xf>
    <xf numFmtId="0" fontId="5" fillId="33" borderId="10" xfId="33" applyFont="1" applyFill="1" applyBorder="1">
      <alignment vertical="top"/>
      <protection/>
    </xf>
    <xf numFmtId="0" fontId="5" fillId="13" borderId="11" xfId="33" applyFont="1" applyFill="1" applyBorder="1" applyAlignment="1">
      <alignment horizontal="center" vertical="top"/>
      <protection/>
    </xf>
    <xf numFmtId="0" fontId="6" fillId="13" borderId="12" xfId="33" applyFont="1" applyFill="1" applyBorder="1" applyAlignment="1">
      <alignment horizontal="center" vertical="top"/>
      <protection/>
    </xf>
    <xf numFmtId="0" fontId="6" fillId="13" borderId="13" xfId="33" applyFont="1" applyFill="1" applyBorder="1" applyAlignment="1">
      <alignment horizontal="center" vertical="top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1" max="1" width="19.625" style="0" customWidth="1"/>
    <col min="2" max="2" width="10.625" style="0" customWidth="1"/>
    <col min="8" max="8" width="10.00390625" style="0" customWidth="1"/>
  </cols>
  <sheetData>
    <row r="1" spans="1:8" ht="16.5">
      <c r="A1" s="7" t="s">
        <v>80</v>
      </c>
      <c r="B1" s="8"/>
      <c r="C1" s="8"/>
      <c r="D1" s="8"/>
      <c r="E1" s="8"/>
      <c r="F1" s="8"/>
      <c r="G1" s="8"/>
      <c r="H1" s="9"/>
    </row>
    <row r="2" spans="1:8" ht="16.5">
      <c r="A2" s="1" t="s">
        <v>0</v>
      </c>
      <c r="B2" s="2" t="s">
        <v>54</v>
      </c>
      <c r="C2" s="2" t="s">
        <v>55</v>
      </c>
      <c r="D2" s="2" t="s">
        <v>56</v>
      </c>
      <c r="E2" s="2" t="s">
        <v>57</v>
      </c>
      <c r="F2" s="2" t="s">
        <v>58</v>
      </c>
      <c r="G2" s="2" t="s">
        <v>59</v>
      </c>
      <c r="H2" s="2" t="s">
        <v>46</v>
      </c>
    </row>
    <row r="3" spans="1:8" ht="16.5">
      <c r="A3" s="3" t="s">
        <v>1</v>
      </c>
      <c r="B3" s="4">
        <v>521</v>
      </c>
      <c r="C3" s="4">
        <v>490</v>
      </c>
      <c r="D3" s="4">
        <v>806</v>
      </c>
      <c r="E3" s="4">
        <v>797</v>
      </c>
      <c r="F3" s="4">
        <f>685+7</f>
        <v>692</v>
      </c>
      <c r="G3" s="4">
        <v>453</v>
      </c>
      <c r="H3" s="4">
        <f>SUM(B3:G3)</f>
        <v>3759</v>
      </c>
    </row>
    <row r="4" spans="1:8" ht="16.5">
      <c r="A4" s="3" t="s">
        <v>2</v>
      </c>
      <c r="B4" s="4">
        <v>447</v>
      </c>
      <c r="C4" s="4">
        <v>339</v>
      </c>
      <c r="D4" s="4">
        <f>396+14</f>
        <v>410</v>
      </c>
      <c r="E4" s="4">
        <f>443+32</f>
        <v>475</v>
      </c>
      <c r="F4" s="4">
        <f>540+16</f>
        <v>556</v>
      </c>
      <c r="G4" s="4">
        <f>361+15</f>
        <v>376</v>
      </c>
      <c r="H4" s="4">
        <f aca="true" t="shared" si="0" ref="H4:H9">SUM(B4:G4)</f>
        <v>2603</v>
      </c>
    </row>
    <row r="5" spans="1:8" ht="16.5">
      <c r="A5" s="3" t="s">
        <v>3</v>
      </c>
      <c r="B5" s="4">
        <v>2</v>
      </c>
      <c r="C5" s="4">
        <v>21</v>
      </c>
      <c r="D5" s="4">
        <v>40</v>
      </c>
      <c r="E5" s="4">
        <v>33</v>
      </c>
      <c r="F5" s="4">
        <v>35</v>
      </c>
      <c r="G5" s="4">
        <v>21</v>
      </c>
      <c r="H5" s="4">
        <f t="shared" si="0"/>
        <v>152</v>
      </c>
    </row>
    <row r="6" spans="1:8" ht="16.5">
      <c r="A6" s="3" t="s">
        <v>4</v>
      </c>
      <c r="B6" s="4">
        <v>9</v>
      </c>
      <c r="C6" s="4">
        <v>23</v>
      </c>
      <c r="D6" s="4">
        <v>33</v>
      </c>
      <c r="E6" s="4">
        <v>36</v>
      </c>
      <c r="F6" s="4">
        <v>28</v>
      </c>
      <c r="G6" s="4">
        <v>6</v>
      </c>
      <c r="H6" s="4">
        <f t="shared" si="0"/>
        <v>135</v>
      </c>
    </row>
    <row r="7" spans="1:8" ht="16.5">
      <c r="A7" s="3" t="s">
        <v>5</v>
      </c>
      <c r="B7" s="4">
        <v>3</v>
      </c>
      <c r="C7" s="4">
        <v>3</v>
      </c>
      <c r="D7" s="4">
        <v>4</v>
      </c>
      <c r="E7" s="4">
        <v>5</v>
      </c>
      <c r="F7" s="4">
        <v>7</v>
      </c>
      <c r="G7" s="4">
        <v>4</v>
      </c>
      <c r="H7" s="4">
        <f t="shared" si="0"/>
        <v>26</v>
      </c>
    </row>
    <row r="8" spans="1:8" ht="16.5">
      <c r="A8" s="3" t="s">
        <v>47</v>
      </c>
      <c r="B8" s="4">
        <v>103</v>
      </c>
      <c r="C8" s="4">
        <v>152</v>
      </c>
      <c r="D8" s="4">
        <v>181</v>
      </c>
      <c r="E8" s="4">
        <v>152</v>
      </c>
      <c r="F8" s="4">
        <v>132</v>
      </c>
      <c r="G8" s="4">
        <v>100</v>
      </c>
      <c r="H8" s="4">
        <f t="shared" si="0"/>
        <v>820</v>
      </c>
    </row>
    <row r="9" spans="1:8" ht="16.5">
      <c r="A9" s="3" t="s">
        <v>48</v>
      </c>
      <c r="B9" s="4">
        <v>50</v>
      </c>
      <c r="C9" s="4">
        <v>39</v>
      </c>
      <c r="D9" s="4">
        <v>32</v>
      </c>
      <c r="E9" s="4">
        <v>44</v>
      </c>
      <c r="F9" s="4">
        <v>41</v>
      </c>
      <c r="G9" s="4">
        <v>23</v>
      </c>
      <c r="H9" s="4">
        <f t="shared" si="0"/>
        <v>229</v>
      </c>
    </row>
    <row r="10" spans="1:8" ht="16.5">
      <c r="A10" s="5" t="s">
        <v>6</v>
      </c>
      <c r="B10" s="6">
        <f aca="true" t="shared" si="1" ref="B10:H10">SUM(B3:B9)</f>
        <v>1135</v>
      </c>
      <c r="C10" s="6">
        <f t="shared" si="1"/>
        <v>1067</v>
      </c>
      <c r="D10" s="6">
        <f t="shared" si="1"/>
        <v>1506</v>
      </c>
      <c r="E10" s="6">
        <f t="shared" si="1"/>
        <v>1542</v>
      </c>
      <c r="F10" s="6">
        <f t="shared" si="1"/>
        <v>1491</v>
      </c>
      <c r="G10" s="6">
        <f t="shared" si="1"/>
        <v>983</v>
      </c>
      <c r="H10" s="6">
        <f t="shared" si="1"/>
        <v>7724</v>
      </c>
    </row>
    <row r="11" spans="1:8" ht="16.5">
      <c r="A11" s="3"/>
      <c r="B11" s="4"/>
      <c r="C11" s="4"/>
      <c r="D11" s="4"/>
      <c r="E11" s="4"/>
      <c r="F11" s="4"/>
      <c r="G11" s="4"/>
      <c r="H11" s="4"/>
    </row>
    <row r="12" spans="1:8" ht="16.5">
      <c r="A12" s="3" t="s">
        <v>7</v>
      </c>
      <c r="B12" s="4">
        <v>73</v>
      </c>
      <c r="C12" s="4">
        <v>1008</v>
      </c>
      <c r="D12" s="4">
        <f>2385+91</f>
        <v>2476</v>
      </c>
      <c r="E12" s="4">
        <f>3051+176</f>
        <v>3227</v>
      </c>
      <c r="F12" s="4">
        <f>2593+163</f>
        <v>2756</v>
      </c>
      <c r="G12" s="4">
        <f>1336+70</f>
        <v>1406</v>
      </c>
      <c r="H12" s="4">
        <f>SUM(B12:G12)</f>
        <v>10946</v>
      </c>
    </row>
    <row r="13" spans="1:8" ht="16.5">
      <c r="A13" s="3" t="s">
        <v>8</v>
      </c>
      <c r="B13" s="4">
        <v>570</v>
      </c>
      <c r="C13" s="4">
        <f>1865+22</f>
        <v>1887</v>
      </c>
      <c r="D13" s="4">
        <f>2984+574+45</f>
        <v>3603</v>
      </c>
      <c r="E13" s="4">
        <f>4516+851</f>
        <v>5367</v>
      </c>
      <c r="F13" s="4">
        <f>3385+916</f>
        <v>4301</v>
      </c>
      <c r="G13" s="4">
        <f>2629+524</f>
        <v>3153</v>
      </c>
      <c r="H13" s="4">
        <f aca="true" t="shared" si="2" ref="H13:H25">SUM(B13:G13)</f>
        <v>18881</v>
      </c>
    </row>
    <row r="14" spans="1:8" ht="16.5">
      <c r="A14" s="3" t="s">
        <v>9</v>
      </c>
      <c r="B14" s="4">
        <v>6</v>
      </c>
      <c r="C14" s="4">
        <v>400</v>
      </c>
      <c r="D14" s="4">
        <f>928+47</f>
        <v>975</v>
      </c>
      <c r="E14" s="4">
        <f>1630+329</f>
        <v>1959</v>
      </c>
      <c r="F14" s="4">
        <f>1016+82</f>
        <v>1098</v>
      </c>
      <c r="G14" s="4">
        <f>749+198</f>
        <v>947</v>
      </c>
      <c r="H14" s="4">
        <f t="shared" si="2"/>
        <v>5385</v>
      </c>
    </row>
    <row r="15" spans="1:8" ht="16.5">
      <c r="A15" s="3" t="s">
        <v>62</v>
      </c>
      <c r="B15" s="4">
        <v>28</v>
      </c>
      <c r="C15" s="4">
        <v>239</v>
      </c>
      <c r="D15" s="4">
        <f>567+30</f>
        <v>597</v>
      </c>
      <c r="E15" s="4">
        <f>788+66</f>
        <v>854</v>
      </c>
      <c r="F15" s="4">
        <f>666+19</f>
        <v>685</v>
      </c>
      <c r="G15" s="4">
        <f>478</f>
        <v>478</v>
      </c>
      <c r="H15" s="4">
        <f t="shared" si="2"/>
        <v>2881</v>
      </c>
    </row>
    <row r="16" spans="1:8" ht="16.5">
      <c r="A16" s="3" t="s">
        <v>61</v>
      </c>
      <c r="B16" s="4">
        <v>0</v>
      </c>
      <c r="C16" s="4">
        <v>29</v>
      </c>
      <c r="D16" s="4">
        <f>99+46</f>
        <v>145</v>
      </c>
      <c r="E16" s="4">
        <f>227+10</f>
        <v>237</v>
      </c>
      <c r="F16" s="4">
        <v>138</v>
      </c>
      <c r="G16" s="4">
        <v>117</v>
      </c>
      <c r="H16" s="4">
        <f t="shared" si="2"/>
        <v>666</v>
      </c>
    </row>
    <row r="17" spans="1:8" ht="16.5">
      <c r="A17" s="3" t="s">
        <v>10</v>
      </c>
      <c r="B17" s="4">
        <v>24</v>
      </c>
      <c r="C17" s="4">
        <v>406</v>
      </c>
      <c r="D17" s="4">
        <f>831+53</f>
        <v>884</v>
      </c>
      <c r="E17" s="4">
        <f>931+93</f>
        <v>1024</v>
      </c>
      <c r="F17" s="4">
        <f>858+26</f>
        <v>884</v>
      </c>
      <c r="G17" s="4">
        <v>437</v>
      </c>
      <c r="H17" s="4">
        <f t="shared" si="2"/>
        <v>3659</v>
      </c>
    </row>
    <row r="18" spans="1:8" ht="16.5">
      <c r="A18" s="3" t="s">
        <v>66</v>
      </c>
      <c r="B18" s="4">
        <v>586</v>
      </c>
      <c r="C18" s="4">
        <f>2444+22</f>
        <v>2466</v>
      </c>
      <c r="D18" s="4">
        <f>3946+924+46</f>
        <v>4916</v>
      </c>
      <c r="E18" s="4">
        <f>5629+1234</f>
        <v>6863</v>
      </c>
      <c r="F18" s="4">
        <f>3622+1125</f>
        <v>4747</v>
      </c>
      <c r="G18" s="4">
        <f>3592+1126</f>
        <v>4718</v>
      </c>
      <c r="H18" s="4">
        <f t="shared" si="2"/>
        <v>24296</v>
      </c>
    </row>
    <row r="19" spans="1:8" ht="16.5">
      <c r="A19" s="3" t="s">
        <v>11</v>
      </c>
      <c r="B19" s="4">
        <v>59</v>
      </c>
      <c r="C19" s="4">
        <v>800</v>
      </c>
      <c r="D19" s="4">
        <f>1763+39</f>
        <v>1802</v>
      </c>
      <c r="E19" s="4">
        <f>2614+156</f>
        <v>2770</v>
      </c>
      <c r="F19" s="4">
        <f>1644+70</f>
        <v>1714</v>
      </c>
      <c r="G19" s="4">
        <f>1331+122</f>
        <v>1453</v>
      </c>
      <c r="H19" s="4">
        <f t="shared" si="2"/>
        <v>8598</v>
      </c>
    </row>
    <row r="20" spans="1:8" ht="16.5">
      <c r="A20" s="3" t="s">
        <v>12</v>
      </c>
      <c r="B20" s="4">
        <v>153</v>
      </c>
      <c r="C20" s="4">
        <v>1728</v>
      </c>
      <c r="D20" s="4">
        <f>3383+330+45</f>
        <v>3758</v>
      </c>
      <c r="E20" s="4">
        <f>4303+704</f>
        <v>5007</v>
      </c>
      <c r="F20" s="4">
        <f>3589+250</f>
        <v>3839</v>
      </c>
      <c r="G20" s="4">
        <f>2058+561</f>
        <v>2619</v>
      </c>
      <c r="H20" s="4">
        <f t="shared" si="2"/>
        <v>17104</v>
      </c>
    </row>
    <row r="21" spans="1:8" ht="16.5">
      <c r="A21" s="3" t="s">
        <v>13</v>
      </c>
      <c r="B21" s="4">
        <v>141</v>
      </c>
      <c r="C21" s="4">
        <v>888</v>
      </c>
      <c r="D21" s="4">
        <f>1791+176</f>
        <v>1967</v>
      </c>
      <c r="E21" s="4">
        <f>2499+229</f>
        <v>2728</v>
      </c>
      <c r="F21" s="4">
        <f>1636+121</f>
        <v>1757</v>
      </c>
      <c r="G21" s="4">
        <f>1488+195</f>
        <v>1683</v>
      </c>
      <c r="H21" s="4">
        <f t="shared" si="2"/>
        <v>9164</v>
      </c>
    </row>
    <row r="22" spans="1:8" ht="16.5">
      <c r="A22" s="3" t="s">
        <v>14</v>
      </c>
      <c r="B22" s="4">
        <v>167</v>
      </c>
      <c r="C22" s="4">
        <v>1111</v>
      </c>
      <c r="D22" s="4">
        <f>1732+137</f>
        <v>1869</v>
      </c>
      <c r="E22" s="4">
        <f>2264+338</f>
        <v>2602</v>
      </c>
      <c r="F22" s="4">
        <f>1740+179</f>
        <v>1919</v>
      </c>
      <c r="G22" s="4">
        <f>1406+196</f>
        <v>1602</v>
      </c>
      <c r="H22" s="4">
        <f t="shared" si="2"/>
        <v>9270</v>
      </c>
    </row>
    <row r="23" spans="1:8" ht="16.5">
      <c r="A23" s="3" t="s">
        <v>67</v>
      </c>
      <c r="B23" s="4">
        <v>156</v>
      </c>
      <c r="C23" s="4">
        <v>1433</v>
      </c>
      <c r="D23" s="4">
        <f>3141+89</f>
        <v>3230</v>
      </c>
      <c r="E23" s="4">
        <f>4509+184</f>
        <v>4693</v>
      </c>
      <c r="F23" s="4">
        <f>3907+95</f>
        <v>4002</v>
      </c>
      <c r="G23" s="4">
        <f>2227+79</f>
        <v>2306</v>
      </c>
      <c r="H23" s="4">
        <f t="shared" si="2"/>
        <v>15820</v>
      </c>
    </row>
    <row r="24" spans="1:8" ht="16.5">
      <c r="A24" s="3" t="s">
        <v>65</v>
      </c>
      <c r="B24" s="4">
        <v>236</v>
      </c>
      <c r="C24" s="4">
        <v>801</v>
      </c>
      <c r="D24" s="4">
        <f>1566+175</f>
        <v>1741</v>
      </c>
      <c r="E24" s="4">
        <f>1961+176</f>
        <v>2137</v>
      </c>
      <c r="F24" s="4">
        <f>1429+116</f>
        <v>1545</v>
      </c>
      <c r="G24" s="4">
        <f>1008+90</f>
        <v>1098</v>
      </c>
      <c r="H24" s="4">
        <f t="shared" si="2"/>
        <v>7558</v>
      </c>
    </row>
    <row r="25" spans="1:8" ht="16.5">
      <c r="A25" s="3" t="s">
        <v>15</v>
      </c>
      <c r="B25" s="4">
        <v>35</v>
      </c>
      <c r="C25" s="4">
        <v>829</v>
      </c>
      <c r="D25" s="4">
        <v>1542</v>
      </c>
      <c r="E25" s="4">
        <f>2172+153</f>
        <v>2325</v>
      </c>
      <c r="F25" s="4">
        <f>1692+148</f>
        <v>1840</v>
      </c>
      <c r="G25" s="4">
        <f>1168+58</f>
        <v>1226</v>
      </c>
      <c r="H25" s="4">
        <f t="shared" si="2"/>
        <v>7797</v>
      </c>
    </row>
    <row r="26" spans="1:8" ht="16.5">
      <c r="A26" s="5" t="s">
        <v>16</v>
      </c>
      <c r="B26" s="6">
        <f aca="true" t="shared" si="3" ref="B26:H26">SUM(B12:B25)</f>
        <v>2234</v>
      </c>
      <c r="C26" s="6">
        <f t="shared" si="3"/>
        <v>14025</v>
      </c>
      <c r="D26" s="6">
        <f t="shared" si="3"/>
        <v>29505</v>
      </c>
      <c r="E26" s="6">
        <f t="shared" si="3"/>
        <v>41793</v>
      </c>
      <c r="F26" s="6">
        <f t="shared" si="3"/>
        <v>31225</v>
      </c>
      <c r="G26" s="6">
        <f t="shared" si="3"/>
        <v>23243</v>
      </c>
      <c r="H26" s="6">
        <f t="shared" si="3"/>
        <v>142025</v>
      </c>
    </row>
    <row r="27" spans="1:8" ht="16.5">
      <c r="A27" s="4"/>
      <c r="B27" s="4"/>
      <c r="C27" s="4"/>
      <c r="D27" s="4"/>
      <c r="E27" s="4"/>
      <c r="F27" s="4"/>
      <c r="G27" s="4"/>
      <c r="H27" s="4"/>
    </row>
    <row r="28" spans="1:8" ht="16.5">
      <c r="A28" s="3" t="s">
        <v>17</v>
      </c>
      <c r="B28" s="4">
        <v>20</v>
      </c>
      <c r="C28" s="4">
        <v>77</v>
      </c>
      <c r="D28" s="4">
        <f>116+32</f>
        <v>148</v>
      </c>
      <c r="E28" s="4">
        <f>175+33</f>
        <v>208</v>
      </c>
      <c r="F28" s="4">
        <f>145+26</f>
        <v>171</v>
      </c>
      <c r="G28" s="4">
        <v>89</v>
      </c>
      <c r="H28" s="4">
        <f>SUM(B28:G28)</f>
        <v>713</v>
      </c>
    </row>
    <row r="29" spans="1:8" ht="16.5">
      <c r="A29" s="3" t="s">
        <v>18</v>
      </c>
      <c r="B29" s="4">
        <v>3</v>
      </c>
      <c r="C29" s="4">
        <v>37</v>
      </c>
      <c r="D29" s="4">
        <v>113</v>
      </c>
      <c r="E29" s="4">
        <f>137+40</f>
        <v>177</v>
      </c>
      <c r="F29" s="4">
        <v>87</v>
      </c>
      <c r="G29" s="4">
        <v>151</v>
      </c>
      <c r="H29" s="4">
        <f aca="true" t="shared" si="4" ref="H29:H39">SUM(B29:G29)</f>
        <v>568</v>
      </c>
    </row>
    <row r="30" spans="1:8" ht="16.5">
      <c r="A30" s="3" t="s">
        <v>63</v>
      </c>
      <c r="B30" s="4">
        <v>0</v>
      </c>
      <c r="C30" s="4">
        <v>8</v>
      </c>
      <c r="D30" s="4">
        <v>47</v>
      </c>
      <c r="E30" s="4">
        <v>87</v>
      </c>
      <c r="F30" s="4">
        <v>83</v>
      </c>
      <c r="G30" s="4">
        <v>56</v>
      </c>
      <c r="H30" s="4">
        <f t="shared" si="4"/>
        <v>281</v>
      </c>
    </row>
    <row r="31" spans="1:8" ht="16.5">
      <c r="A31" s="3" t="s">
        <v>60</v>
      </c>
      <c r="B31" s="4">
        <v>19</v>
      </c>
      <c r="C31" s="4">
        <v>58</v>
      </c>
      <c r="D31" s="4">
        <v>186</v>
      </c>
      <c r="E31" s="4">
        <f>118+5</f>
        <v>123</v>
      </c>
      <c r="F31" s="4">
        <v>121</v>
      </c>
      <c r="G31" s="4">
        <v>49</v>
      </c>
      <c r="H31" s="4">
        <f t="shared" si="4"/>
        <v>556</v>
      </c>
    </row>
    <row r="32" spans="1:8" ht="16.5">
      <c r="A32" s="3" t="s">
        <v>19</v>
      </c>
      <c r="B32" s="4">
        <v>3</v>
      </c>
      <c r="C32" s="4">
        <v>21</v>
      </c>
      <c r="D32" s="4">
        <v>33</v>
      </c>
      <c r="E32" s="4">
        <f>49+11</f>
        <v>60</v>
      </c>
      <c r="F32" s="4">
        <v>28</v>
      </c>
      <c r="G32" s="4">
        <v>25</v>
      </c>
      <c r="H32" s="4">
        <f t="shared" si="4"/>
        <v>170</v>
      </c>
    </row>
    <row r="33" spans="1:8" ht="16.5">
      <c r="A33" s="3" t="s">
        <v>53</v>
      </c>
      <c r="B33" s="4">
        <v>23</v>
      </c>
      <c r="C33" s="4">
        <v>3</v>
      </c>
      <c r="D33" s="4">
        <v>9</v>
      </c>
      <c r="E33" s="4">
        <v>8</v>
      </c>
      <c r="F33" s="4">
        <v>1</v>
      </c>
      <c r="G33" s="4">
        <f>168+25</f>
        <v>193</v>
      </c>
      <c r="H33" s="4">
        <f t="shared" si="4"/>
        <v>237</v>
      </c>
    </row>
    <row r="34" spans="1:8" ht="16.5">
      <c r="A34" s="3" t="s">
        <v>20</v>
      </c>
      <c r="B34" s="4">
        <v>18</v>
      </c>
      <c r="C34" s="4">
        <v>109</v>
      </c>
      <c r="D34" s="4">
        <v>234</v>
      </c>
      <c r="E34" s="4">
        <f>294+12</f>
        <v>306</v>
      </c>
      <c r="F34" s="4">
        <v>313</v>
      </c>
      <c r="G34" s="4">
        <v>0</v>
      </c>
      <c r="H34" s="4">
        <f t="shared" si="4"/>
        <v>980</v>
      </c>
    </row>
    <row r="35" spans="1:8" ht="16.5">
      <c r="A35" s="3" t="s">
        <v>21</v>
      </c>
      <c r="B35" s="4">
        <v>485</v>
      </c>
      <c r="C35" s="4">
        <v>1206</v>
      </c>
      <c r="D35" s="4">
        <f>2672+149</f>
        <v>2821</v>
      </c>
      <c r="E35" s="4">
        <f>3236+235</f>
        <v>3471</v>
      </c>
      <c r="F35" s="4">
        <f>2651+76</f>
        <v>2727</v>
      </c>
      <c r="G35" s="4">
        <v>1880</v>
      </c>
      <c r="H35" s="4">
        <f t="shared" si="4"/>
        <v>12590</v>
      </c>
    </row>
    <row r="36" spans="1:8" ht="16.5">
      <c r="A36" s="3" t="s">
        <v>22</v>
      </c>
      <c r="B36" s="4">
        <v>88</v>
      </c>
      <c r="C36" s="4">
        <v>197</v>
      </c>
      <c r="D36" s="4">
        <v>331</v>
      </c>
      <c r="E36" s="4">
        <f>401+22</f>
        <v>423</v>
      </c>
      <c r="F36" s="4">
        <v>414</v>
      </c>
      <c r="G36" s="4">
        <v>258</v>
      </c>
      <c r="H36" s="4">
        <f t="shared" si="4"/>
        <v>1711</v>
      </c>
    </row>
    <row r="37" spans="1:8" ht="16.5">
      <c r="A37" s="3" t="s">
        <v>68</v>
      </c>
      <c r="B37" s="4">
        <v>118</v>
      </c>
      <c r="C37" s="4">
        <v>243</v>
      </c>
      <c r="D37" s="4">
        <v>579</v>
      </c>
      <c r="E37" s="4">
        <f>589+19</f>
        <v>608</v>
      </c>
      <c r="F37" s="4">
        <f>594+14</f>
        <v>608</v>
      </c>
      <c r="G37" s="4">
        <v>314</v>
      </c>
      <c r="H37" s="4">
        <f t="shared" si="4"/>
        <v>2470</v>
      </c>
    </row>
    <row r="38" spans="1:8" ht="16.5">
      <c r="A38" s="3" t="s">
        <v>23</v>
      </c>
      <c r="B38" s="4">
        <v>46</v>
      </c>
      <c r="C38" s="4">
        <v>53</v>
      </c>
      <c r="D38" s="4">
        <v>170</v>
      </c>
      <c r="E38" s="4">
        <v>186</v>
      </c>
      <c r="F38" s="4">
        <f>270+27</f>
        <v>297</v>
      </c>
      <c r="G38" s="4">
        <v>117</v>
      </c>
      <c r="H38" s="4">
        <f t="shared" si="4"/>
        <v>869</v>
      </c>
    </row>
    <row r="39" spans="1:8" ht="16.5">
      <c r="A39" s="3" t="s">
        <v>24</v>
      </c>
      <c r="B39" s="4">
        <v>14</v>
      </c>
      <c r="C39" s="4">
        <v>90</v>
      </c>
      <c r="D39" s="4">
        <v>136</v>
      </c>
      <c r="E39" s="4">
        <v>202</v>
      </c>
      <c r="F39" s="4">
        <v>198</v>
      </c>
      <c r="G39" s="4">
        <v>144</v>
      </c>
      <c r="H39" s="4">
        <f t="shared" si="4"/>
        <v>784</v>
      </c>
    </row>
    <row r="40" spans="1:8" ht="16.5">
      <c r="A40" s="5" t="s">
        <v>25</v>
      </c>
      <c r="B40" s="6">
        <f>SUM(B28:B39)</f>
        <v>837</v>
      </c>
      <c r="C40" s="6">
        <f aca="true" t="shared" si="5" ref="C40:H40">SUM(C28:C39)</f>
        <v>2102</v>
      </c>
      <c r="D40" s="6">
        <f t="shared" si="5"/>
        <v>4807</v>
      </c>
      <c r="E40" s="6">
        <f t="shared" si="5"/>
        <v>5859</v>
      </c>
      <c r="F40" s="6">
        <f t="shared" si="5"/>
        <v>5048</v>
      </c>
      <c r="G40" s="6">
        <f t="shared" si="5"/>
        <v>3276</v>
      </c>
      <c r="H40" s="6">
        <f t="shared" si="5"/>
        <v>21929</v>
      </c>
    </row>
    <row r="41" spans="1:8" ht="16.5">
      <c r="A41" s="4"/>
      <c r="B41" s="4"/>
      <c r="C41" s="4"/>
      <c r="D41" s="4"/>
      <c r="E41" s="4"/>
      <c r="F41" s="4"/>
      <c r="G41" s="4"/>
      <c r="H41" s="4"/>
    </row>
    <row r="42" spans="1:8" ht="16.5">
      <c r="A42" s="3" t="s">
        <v>26</v>
      </c>
      <c r="B42" s="4">
        <v>17</v>
      </c>
      <c r="C42" s="4">
        <v>23</v>
      </c>
      <c r="D42" s="4">
        <v>83</v>
      </c>
      <c r="E42" s="4">
        <v>50</v>
      </c>
      <c r="F42" s="4">
        <v>27</v>
      </c>
      <c r="G42" s="4">
        <v>24</v>
      </c>
      <c r="H42" s="4">
        <f>SUM(B42:G42)</f>
        <v>224</v>
      </c>
    </row>
    <row r="43" spans="1:8" ht="16.5">
      <c r="A43" s="3" t="s">
        <v>64</v>
      </c>
      <c r="B43" s="4">
        <v>0</v>
      </c>
      <c r="C43" s="4">
        <v>0</v>
      </c>
      <c r="D43" s="4">
        <v>12</v>
      </c>
      <c r="E43" s="4">
        <v>12</v>
      </c>
      <c r="F43" s="4">
        <v>4</v>
      </c>
      <c r="G43" s="4">
        <v>1</v>
      </c>
      <c r="H43" s="4">
        <f>SUM(B43:G43)</f>
        <v>29</v>
      </c>
    </row>
    <row r="44" spans="1:8" ht="16.5">
      <c r="A44" s="3" t="s">
        <v>27</v>
      </c>
      <c r="B44" s="4">
        <v>2</v>
      </c>
      <c r="C44" s="4">
        <v>5</v>
      </c>
      <c r="D44" s="4">
        <v>11</v>
      </c>
      <c r="E44" s="4">
        <v>7</v>
      </c>
      <c r="F44" s="4">
        <v>11</v>
      </c>
      <c r="G44" s="4">
        <v>11</v>
      </c>
      <c r="H44" s="4">
        <f>SUM(B44:G44)</f>
        <v>47</v>
      </c>
    </row>
    <row r="45" spans="1:8" ht="16.5">
      <c r="A45" s="3" t="s">
        <v>28</v>
      </c>
      <c r="B45" s="4">
        <v>9</v>
      </c>
      <c r="C45" s="4">
        <v>10</v>
      </c>
      <c r="D45" s="4">
        <v>22</v>
      </c>
      <c r="E45" s="4">
        <v>29</v>
      </c>
      <c r="F45" s="4">
        <v>18</v>
      </c>
      <c r="G45" s="4">
        <v>17</v>
      </c>
      <c r="H45" s="4">
        <f>SUM(B45:G45)</f>
        <v>105</v>
      </c>
    </row>
    <row r="46" spans="1:8" ht="16.5">
      <c r="A46" s="3" t="s">
        <v>29</v>
      </c>
      <c r="B46" s="4">
        <v>7</v>
      </c>
      <c r="C46" s="4">
        <v>29</v>
      </c>
      <c r="D46" s="4">
        <v>65</v>
      </c>
      <c r="E46" s="4">
        <v>52</v>
      </c>
      <c r="F46" s="4">
        <v>52</v>
      </c>
      <c r="G46" s="4">
        <v>24</v>
      </c>
      <c r="H46" s="4">
        <f>SUM(B46:G46)</f>
        <v>229</v>
      </c>
    </row>
    <row r="47" spans="1:8" ht="16.5">
      <c r="A47" s="5" t="s">
        <v>30</v>
      </c>
      <c r="B47" s="6">
        <f>SUM(B42:B46)</f>
        <v>35</v>
      </c>
      <c r="C47" s="6">
        <f aca="true" t="shared" si="6" ref="C47:H47">SUM(C42:C46)</f>
        <v>67</v>
      </c>
      <c r="D47" s="6">
        <f t="shared" si="6"/>
        <v>193</v>
      </c>
      <c r="E47" s="6">
        <f t="shared" si="6"/>
        <v>150</v>
      </c>
      <c r="F47" s="6">
        <f t="shared" si="6"/>
        <v>112</v>
      </c>
      <c r="G47" s="6">
        <f t="shared" si="6"/>
        <v>77</v>
      </c>
      <c r="H47" s="6">
        <f t="shared" si="6"/>
        <v>634</v>
      </c>
    </row>
    <row r="48" spans="1:8" ht="16.5">
      <c r="A48" s="4"/>
      <c r="B48" s="4"/>
      <c r="C48" s="4"/>
      <c r="D48" s="4"/>
      <c r="E48" s="4"/>
      <c r="F48" s="4"/>
      <c r="G48" s="4"/>
      <c r="H48" s="4"/>
    </row>
    <row r="49" spans="1:8" ht="16.5">
      <c r="A49" s="5" t="s">
        <v>31</v>
      </c>
      <c r="B49" s="6">
        <v>2</v>
      </c>
      <c r="C49" s="6">
        <v>15</v>
      </c>
      <c r="D49" s="6">
        <v>17</v>
      </c>
      <c r="E49" s="6">
        <v>27</v>
      </c>
      <c r="F49" s="6">
        <v>24</v>
      </c>
      <c r="G49" s="6">
        <v>15</v>
      </c>
      <c r="H49" s="6">
        <f>SUM(B49:G49)</f>
        <v>100</v>
      </c>
    </row>
    <row r="50" spans="1:8" ht="16.5">
      <c r="A50" s="4"/>
      <c r="B50" s="4"/>
      <c r="C50" s="4"/>
      <c r="D50" s="4"/>
      <c r="E50" s="4"/>
      <c r="F50" s="4"/>
      <c r="G50" s="4"/>
      <c r="H50" s="4"/>
    </row>
    <row r="51" spans="1:8" ht="16.5">
      <c r="A51" s="3" t="s">
        <v>32</v>
      </c>
      <c r="B51" s="4">
        <v>25</v>
      </c>
      <c r="C51" s="4">
        <v>16</v>
      </c>
      <c r="D51" s="4">
        <v>20</v>
      </c>
      <c r="E51" s="4">
        <v>14</v>
      </c>
      <c r="F51" s="4">
        <v>5</v>
      </c>
      <c r="G51" s="4">
        <v>6</v>
      </c>
      <c r="H51" s="4">
        <f>SUM(B51:G51)</f>
        <v>86</v>
      </c>
    </row>
    <row r="52" spans="1:8" ht="16.5">
      <c r="A52" s="3" t="s">
        <v>49</v>
      </c>
      <c r="B52" s="4">
        <v>8</v>
      </c>
      <c r="C52" s="4">
        <v>11</v>
      </c>
      <c r="D52" s="4">
        <v>22</v>
      </c>
      <c r="E52" s="4">
        <v>10</v>
      </c>
      <c r="F52" s="4">
        <v>24</v>
      </c>
      <c r="G52" s="4">
        <v>8</v>
      </c>
      <c r="H52" s="4">
        <f aca="true" t="shared" si="7" ref="H52:H61">SUM(B52:G52)</f>
        <v>83</v>
      </c>
    </row>
    <row r="53" spans="1:8" ht="16.5">
      <c r="A53" s="3" t="s">
        <v>33</v>
      </c>
      <c r="B53" s="4">
        <v>9</v>
      </c>
      <c r="C53" s="4">
        <v>7</v>
      </c>
      <c r="D53" s="4">
        <v>10</v>
      </c>
      <c r="E53" s="4">
        <v>12</v>
      </c>
      <c r="F53" s="4">
        <v>7</v>
      </c>
      <c r="G53" s="4">
        <v>5</v>
      </c>
      <c r="H53" s="4">
        <f t="shared" si="7"/>
        <v>50</v>
      </c>
    </row>
    <row r="54" spans="1:8" ht="16.5">
      <c r="A54" s="3" t="s">
        <v>34</v>
      </c>
      <c r="B54" s="4">
        <v>3</v>
      </c>
      <c r="C54" s="4">
        <v>8</v>
      </c>
      <c r="D54" s="4">
        <v>49</v>
      </c>
      <c r="E54" s="4">
        <v>39</v>
      </c>
      <c r="F54" s="4">
        <v>23</v>
      </c>
      <c r="G54" s="4">
        <v>12</v>
      </c>
      <c r="H54" s="4">
        <f t="shared" si="7"/>
        <v>134</v>
      </c>
    </row>
    <row r="55" spans="1:8" ht="16.5">
      <c r="A55" s="3" t="s">
        <v>35</v>
      </c>
      <c r="B55" s="4">
        <v>0</v>
      </c>
      <c r="C55" s="4">
        <v>10</v>
      </c>
      <c r="D55" s="4">
        <v>24</v>
      </c>
      <c r="E55" s="4">
        <v>19</v>
      </c>
      <c r="F55" s="4">
        <v>8</v>
      </c>
      <c r="G55" s="4">
        <v>8</v>
      </c>
      <c r="H55" s="4">
        <f t="shared" si="7"/>
        <v>69</v>
      </c>
    </row>
    <row r="56" spans="1:8" ht="16.5">
      <c r="A56" s="3" t="s">
        <v>50</v>
      </c>
      <c r="B56" s="4">
        <v>21</v>
      </c>
      <c r="C56" s="4">
        <v>27</v>
      </c>
      <c r="D56" s="4">
        <f>27+14</f>
        <v>41</v>
      </c>
      <c r="E56" s="4">
        <v>37</v>
      </c>
      <c r="F56" s="4">
        <v>36</v>
      </c>
      <c r="G56" s="4">
        <v>40</v>
      </c>
      <c r="H56" s="4">
        <f t="shared" si="7"/>
        <v>202</v>
      </c>
    </row>
    <row r="57" spans="1:8" ht="16.5">
      <c r="A57" s="3" t="s">
        <v>69</v>
      </c>
      <c r="B57" s="4">
        <v>15</v>
      </c>
      <c r="C57" s="4">
        <v>32</v>
      </c>
      <c r="D57" s="4">
        <f>55+174</f>
        <v>229</v>
      </c>
      <c r="E57" s="4">
        <f>119+42</f>
        <v>161</v>
      </c>
      <c r="F57" s="4">
        <f>57+140</f>
        <v>197</v>
      </c>
      <c r="G57" s="4">
        <v>79</v>
      </c>
      <c r="H57" s="4">
        <f t="shared" si="7"/>
        <v>713</v>
      </c>
    </row>
    <row r="58" spans="1:8" ht="16.5">
      <c r="A58" s="3" t="s">
        <v>36</v>
      </c>
      <c r="B58" s="4">
        <v>12</v>
      </c>
      <c r="C58" s="4">
        <v>66</v>
      </c>
      <c r="D58" s="4">
        <v>109</v>
      </c>
      <c r="E58" s="4">
        <v>63</v>
      </c>
      <c r="F58" s="4">
        <v>61</v>
      </c>
      <c r="G58" s="4">
        <v>19</v>
      </c>
      <c r="H58" s="4">
        <f t="shared" si="7"/>
        <v>330</v>
      </c>
    </row>
    <row r="59" spans="1:8" ht="16.5">
      <c r="A59" s="3" t="s">
        <v>37</v>
      </c>
      <c r="B59" s="4">
        <v>6</v>
      </c>
      <c r="C59" s="4">
        <v>9</v>
      </c>
      <c r="D59" s="4">
        <v>25</v>
      </c>
      <c r="E59" s="4">
        <v>19</v>
      </c>
      <c r="F59" s="4">
        <v>21</v>
      </c>
      <c r="G59" s="4">
        <v>14</v>
      </c>
      <c r="H59" s="4">
        <f t="shared" si="7"/>
        <v>94</v>
      </c>
    </row>
    <row r="60" spans="1:8" ht="16.5">
      <c r="A60" s="3" t="s">
        <v>38</v>
      </c>
      <c r="B60" s="4">
        <v>14</v>
      </c>
      <c r="C60" s="4">
        <v>32</v>
      </c>
      <c r="D60" s="4">
        <v>20</v>
      </c>
      <c r="E60" s="4">
        <v>30</v>
      </c>
      <c r="F60" s="4">
        <v>51</v>
      </c>
      <c r="G60" s="4">
        <v>35</v>
      </c>
      <c r="H60" s="4">
        <f t="shared" si="7"/>
        <v>182</v>
      </c>
    </row>
    <row r="61" spans="1:8" ht="16.5">
      <c r="A61" s="3" t="s">
        <v>39</v>
      </c>
      <c r="B61" s="4">
        <v>9</v>
      </c>
      <c r="C61" s="4">
        <v>27</v>
      </c>
      <c r="D61" s="4">
        <v>49</v>
      </c>
      <c r="E61" s="4">
        <v>38</v>
      </c>
      <c r="F61" s="4">
        <v>31</v>
      </c>
      <c r="G61" s="4">
        <v>6</v>
      </c>
      <c r="H61" s="4">
        <f t="shared" si="7"/>
        <v>160</v>
      </c>
    </row>
    <row r="62" spans="1:8" ht="16.5">
      <c r="A62" s="5" t="s">
        <v>40</v>
      </c>
      <c r="B62" s="6">
        <f>SUM(B51:B61)</f>
        <v>122</v>
      </c>
      <c r="C62" s="6">
        <f aca="true" t="shared" si="8" ref="C62:H62">SUM(C51:C61)</f>
        <v>245</v>
      </c>
      <c r="D62" s="6">
        <f t="shared" si="8"/>
        <v>598</v>
      </c>
      <c r="E62" s="6">
        <f t="shared" si="8"/>
        <v>442</v>
      </c>
      <c r="F62" s="6">
        <f t="shared" si="8"/>
        <v>464</v>
      </c>
      <c r="G62" s="6">
        <f t="shared" si="8"/>
        <v>232</v>
      </c>
      <c r="H62" s="6">
        <f t="shared" si="8"/>
        <v>2103</v>
      </c>
    </row>
    <row r="63" spans="1:8" ht="16.5">
      <c r="A63" s="4"/>
      <c r="B63" s="4"/>
      <c r="C63" s="4"/>
      <c r="D63" s="4"/>
      <c r="E63" s="4"/>
      <c r="F63" s="4"/>
      <c r="G63" s="4"/>
      <c r="H63" s="4"/>
    </row>
    <row r="64" spans="1:8" ht="16.5">
      <c r="A64" s="3" t="s">
        <v>41</v>
      </c>
      <c r="B64" s="4">
        <v>405</v>
      </c>
      <c r="C64" s="4">
        <v>960</v>
      </c>
      <c r="D64" s="4">
        <v>1575</v>
      </c>
      <c r="E64" s="4">
        <v>1785</v>
      </c>
      <c r="F64" s="4">
        <v>1434</v>
      </c>
      <c r="G64" s="4">
        <v>946</v>
      </c>
      <c r="H64" s="4">
        <f>SUM(B64:G64)</f>
        <v>7105</v>
      </c>
    </row>
    <row r="65" spans="1:8" ht="16.5">
      <c r="A65" s="3" t="s">
        <v>51</v>
      </c>
      <c r="B65" s="4">
        <v>1</v>
      </c>
      <c r="C65" s="4">
        <v>0</v>
      </c>
      <c r="D65" s="4">
        <v>4</v>
      </c>
      <c r="E65" s="4">
        <v>2</v>
      </c>
      <c r="F65" s="4">
        <v>1</v>
      </c>
      <c r="G65" s="4">
        <v>0</v>
      </c>
      <c r="H65" s="4">
        <f>SUM(B65:G65)</f>
        <v>8</v>
      </c>
    </row>
    <row r="66" spans="1:8" ht="16.5">
      <c r="A66" s="5" t="s">
        <v>42</v>
      </c>
      <c r="B66" s="6">
        <f>SUM(B64:B65)</f>
        <v>406</v>
      </c>
      <c r="C66" s="6">
        <f aca="true" t="shared" si="9" ref="C66:H66">SUM(C64:C65)</f>
        <v>960</v>
      </c>
      <c r="D66" s="6">
        <f t="shared" si="9"/>
        <v>1579</v>
      </c>
      <c r="E66" s="6">
        <f t="shared" si="9"/>
        <v>1787</v>
      </c>
      <c r="F66" s="6">
        <f t="shared" si="9"/>
        <v>1435</v>
      </c>
      <c r="G66" s="6">
        <f t="shared" si="9"/>
        <v>946</v>
      </c>
      <c r="H66" s="6">
        <f t="shared" si="9"/>
        <v>7113</v>
      </c>
    </row>
    <row r="67" spans="1:8" ht="16.5">
      <c r="A67" s="4"/>
      <c r="B67" s="4"/>
      <c r="C67" s="4"/>
      <c r="D67" s="4"/>
      <c r="E67" s="4"/>
      <c r="F67" s="4"/>
      <c r="G67" s="4"/>
      <c r="H67" s="4"/>
    </row>
    <row r="68" spans="1:8" ht="16.5">
      <c r="A68" s="3" t="s">
        <v>43</v>
      </c>
      <c r="B68" s="4">
        <v>101</v>
      </c>
      <c r="C68" s="4">
        <v>134</v>
      </c>
      <c r="D68" s="4">
        <f>124+16</f>
        <v>140</v>
      </c>
      <c r="E68" s="4">
        <v>182</v>
      </c>
      <c r="F68" s="4">
        <v>136</v>
      </c>
      <c r="G68" s="4">
        <v>75</v>
      </c>
      <c r="H68" s="4">
        <f>SUM(B68:G68)</f>
        <v>768</v>
      </c>
    </row>
    <row r="69" spans="1:8" ht="16.5">
      <c r="A69" s="3" t="s">
        <v>52</v>
      </c>
      <c r="B69" s="4">
        <v>128</v>
      </c>
      <c r="C69" s="4">
        <v>235</v>
      </c>
      <c r="D69" s="4">
        <v>234</v>
      </c>
      <c r="E69" s="4">
        <v>271</v>
      </c>
      <c r="F69" s="4">
        <v>319</v>
      </c>
      <c r="G69" s="4">
        <v>170</v>
      </c>
      <c r="H69" s="4">
        <f>SUM(B69:G69)</f>
        <v>1357</v>
      </c>
    </row>
    <row r="70" spans="1:8" ht="16.5">
      <c r="A70" s="5" t="s">
        <v>44</v>
      </c>
      <c r="B70" s="6">
        <f>SUM(B68:B69)</f>
        <v>229</v>
      </c>
      <c r="C70" s="6">
        <f aca="true" t="shared" si="10" ref="C70:H70">SUM(C68:C69)</f>
        <v>369</v>
      </c>
      <c r="D70" s="6">
        <f t="shared" si="10"/>
        <v>374</v>
      </c>
      <c r="E70" s="6">
        <f t="shared" si="10"/>
        <v>453</v>
      </c>
      <c r="F70" s="6">
        <f t="shared" si="10"/>
        <v>455</v>
      </c>
      <c r="G70" s="6">
        <f t="shared" si="10"/>
        <v>245</v>
      </c>
      <c r="H70" s="6">
        <f t="shared" si="10"/>
        <v>2125</v>
      </c>
    </row>
    <row r="71" spans="1:8" ht="16.5">
      <c r="A71" s="4"/>
      <c r="B71" s="4"/>
      <c r="C71" s="4"/>
      <c r="D71" s="4"/>
      <c r="E71" s="4"/>
      <c r="F71" s="4"/>
      <c r="G71" s="4"/>
      <c r="H71" s="4"/>
    </row>
    <row r="72" spans="1:8" ht="16.5">
      <c r="A72" s="3" t="s">
        <v>45</v>
      </c>
      <c r="B72" s="4">
        <f aca="true" t="shared" si="11" ref="B72:H72">B10+B26+B40+B47+B49+B62+B66+B70</f>
        <v>5000</v>
      </c>
      <c r="C72" s="4">
        <f t="shared" si="11"/>
        <v>18850</v>
      </c>
      <c r="D72" s="4">
        <f t="shared" si="11"/>
        <v>38579</v>
      </c>
      <c r="E72" s="4">
        <f t="shared" si="11"/>
        <v>52053</v>
      </c>
      <c r="F72" s="4">
        <f t="shared" si="11"/>
        <v>40254</v>
      </c>
      <c r="G72" s="4">
        <f t="shared" si="11"/>
        <v>29017</v>
      </c>
      <c r="H72" s="4">
        <f t="shared" si="11"/>
        <v>183753</v>
      </c>
    </row>
    <row r="73" spans="1:8" ht="16.5">
      <c r="A73" s="4"/>
      <c r="B73" s="4"/>
      <c r="C73" s="4"/>
      <c r="D73" s="4"/>
      <c r="E73" s="4"/>
      <c r="F73" s="4"/>
      <c r="G73" s="4"/>
      <c r="H73" s="4"/>
    </row>
    <row r="74" spans="1:8" ht="16.5">
      <c r="A74" s="4"/>
      <c r="B74" s="4"/>
      <c r="C74" s="4"/>
      <c r="D74" s="4"/>
      <c r="E74" s="4"/>
      <c r="F74" s="4"/>
      <c r="G74" s="4"/>
      <c r="H74" s="4"/>
    </row>
    <row r="75" spans="1:8" ht="16.5">
      <c r="A75" s="4"/>
      <c r="B75" s="4"/>
      <c r="C75" s="4"/>
      <c r="D75" s="4"/>
      <c r="E75" s="4"/>
      <c r="F75" s="4"/>
      <c r="G75" s="4"/>
      <c r="H75" s="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A1" sqref="A1:H1"/>
    </sheetView>
  </sheetViews>
  <sheetFormatPr defaultColWidth="9.00390625" defaultRowHeight="16.5"/>
  <cols>
    <col min="1" max="1" width="19.625" style="0" customWidth="1"/>
    <col min="2" max="2" width="10.625" style="0" customWidth="1"/>
    <col min="8" max="8" width="10.00390625" style="0" customWidth="1"/>
  </cols>
  <sheetData>
    <row r="1" spans="1:8" ht="16.5">
      <c r="A1" s="7" t="s">
        <v>79</v>
      </c>
      <c r="B1" s="8"/>
      <c r="C1" s="8"/>
      <c r="D1" s="8"/>
      <c r="E1" s="8"/>
      <c r="F1" s="8"/>
      <c r="G1" s="8"/>
      <c r="H1" s="9"/>
    </row>
    <row r="2" spans="1:8" ht="16.5">
      <c r="A2" s="1" t="s">
        <v>0</v>
      </c>
      <c r="B2" s="2" t="s">
        <v>70</v>
      </c>
      <c r="C2" s="2" t="s">
        <v>71</v>
      </c>
      <c r="D2" s="2" t="s">
        <v>72</v>
      </c>
      <c r="E2" s="2" t="s">
        <v>73</v>
      </c>
      <c r="F2" s="2" t="s">
        <v>74</v>
      </c>
      <c r="G2" s="2" t="s">
        <v>75</v>
      </c>
      <c r="H2" s="2" t="s">
        <v>46</v>
      </c>
    </row>
    <row r="3" spans="1:8" ht="16.5">
      <c r="A3" s="3" t="s">
        <v>1</v>
      </c>
      <c r="B3" s="4">
        <f>473+8</f>
        <v>481</v>
      </c>
      <c r="C3" s="4">
        <f>739+4</f>
        <v>743</v>
      </c>
      <c r="D3" s="4">
        <v>495</v>
      </c>
      <c r="E3" s="4">
        <f>788+19</f>
        <v>807</v>
      </c>
      <c r="F3" s="4">
        <f>655+62</f>
        <v>717</v>
      </c>
      <c r="G3" s="4">
        <f>692+22</f>
        <v>714</v>
      </c>
      <c r="H3" s="4">
        <f>SUM(B3:G3)</f>
        <v>3957</v>
      </c>
    </row>
    <row r="4" spans="1:8" ht="16.5">
      <c r="A4" s="3" t="s">
        <v>2</v>
      </c>
      <c r="B4" s="4">
        <f>270+9</f>
        <v>279</v>
      </c>
      <c r="C4" s="4">
        <f>394+31</f>
        <v>425</v>
      </c>
      <c r="D4" s="4">
        <f>269+21</f>
        <v>290</v>
      </c>
      <c r="E4" s="4">
        <f>446+42</f>
        <v>488</v>
      </c>
      <c r="F4" s="4">
        <v>497</v>
      </c>
      <c r="G4" s="4">
        <f>469+49</f>
        <v>518</v>
      </c>
      <c r="H4" s="4">
        <f aca="true" t="shared" si="0" ref="H4:H9">SUM(B4:G4)</f>
        <v>2497</v>
      </c>
    </row>
    <row r="5" spans="1:8" ht="16.5">
      <c r="A5" s="3" t="s">
        <v>3</v>
      </c>
      <c r="B5" s="4">
        <v>3</v>
      </c>
      <c r="C5" s="4">
        <v>44</v>
      </c>
      <c r="D5" s="4">
        <v>22</v>
      </c>
      <c r="E5" s="4">
        <v>33</v>
      </c>
      <c r="F5" s="4">
        <v>21</v>
      </c>
      <c r="G5" s="4">
        <v>7</v>
      </c>
      <c r="H5" s="4">
        <f t="shared" si="0"/>
        <v>130</v>
      </c>
    </row>
    <row r="6" spans="1:8" ht="16.5">
      <c r="A6" s="3" t="s">
        <v>4</v>
      </c>
      <c r="B6" s="4">
        <v>14</v>
      </c>
      <c r="C6" s="4">
        <v>36</v>
      </c>
      <c r="D6" s="4">
        <v>17</v>
      </c>
      <c r="E6" s="4">
        <v>51</v>
      </c>
      <c r="F6" s="4">
        <v>67</v>
      </c>
      <c r="G6" s="4">
        <v>16</v>
      </c>
      <c r="H6" s="4">
        <f t="shared" si="0"/>
        <v>201</v>
      </c>
    </row>
    <row r="7" spans="1:8" ht="16.5">
      <c r="A7" s="3" t="s">
        <v>5</v>
      </c>
      <c r="B7" s="4">
        <v>6</v>
      </c>
      <c r="C7" s="4">
        <v>6</v>
      </c>
      <c r="D7" s="4">
        <v>2</v>
      </c>
      <c r="E7" s="4">
        <v>2</v>
      </c>
      <c r="F7" s="4">
        <v>2</v>
      </c>
      <c r="G7" s="4">
        <v>22</v>
      </c>
      <c r="H7" s="4">
        <f t="shared" si="0"/>
        <v>40</v>
      </c>
    </row>
    <row r="8" spans="1:8" ht="16.5">
      <c r="A8" s="3" t="s">
        <v>47</v>
      </c>
      <c r="B8" s="4">
        <v>88</v>
      </c>
      <c r="C8" s="4">
        <v>148</v>
      </c>
      <c r="D8" s="4">
        <v>89</v>
      </c>
      <c r="E8" s="4">
        <v>172</v>
      </c>
      <c r="F8" s="4">
        <v>140</v>
      </c>
      <c r="G8" s="4">
        <v>105</v>
      </c>
      <c r="H8" s="4">
        <f t="shared" si="0"/>
        <v>742</v>
      </c>
    </row>
    <row r="9" spans="1:8" ht="16.5">
      <c r="A9" s="3" t="s">
        <v>48</v>
      </c>
      <c r="B9" s="4">
        <v>26</v>
      </c>
      <c r="C9" s="4">
        <v>47</v>
      </c>
      <c r="D9" s="4">
        <v>37</v>
      </c>
      <c r="E9" s="4">
        <v>42</v>
      </c>
      <c r="F9" s="4">
        <v>30</v>
      </c>
      <c r="G9" s="4">
        <v>43</v>
      </c>
      <c r="H9" s="4">
        <f t="shared" si="0"/>
        <v>225</v>
      </c>
    </row>
    <row r="10" spans="1:8" ht="16.5">
      <c r="A10" s="5" t="s">
        <v>6</v>
      </c>
      <c r="B10" s="6">
        <f aca="true" t="shared" si="1" ref="B10:H10">SUM(B3:B9)</f>
        <v>897</v>
      </c>
      <c r="C10" s="6">
        <f t="shared" si="1"/>
        <v>1449</v>
      </c>
      <c r="D10" s="6">
        <f t="shared" si="1"/>
        <v>952</v>
      </c>
      <c r="E10" s="6">
        <f t="shared" si="1"/>
        <v>1595</v>
      </c>
      <c r="F10" s="6">
        <f t="shared" si="1"/>
        <v>1474</v>
      </c>
      <c r="G10" s="6">
        <f t="shared" si="1"/>
        <v>1425</v>
      </c>
      <c r="H10" s="6">
        <f t="shared" si="1"/>
        <v>7792</v>
      </c>
    </row>
    <row r="11" spans="1:8" ht="16.5">
      <c r="A11" s="3"/>
      <c r="B11" s="4"/>
      <c r="C11" s="4"/>
      <c r="D11" s="4"/>
      <c r="E11" s="4"/>
      <c r="F11" s="4"/>
      <c r="G11" s="4"/>
      <c r="H11" s="4"/>
    </row>
    <row r="12" spans="1:8" ht="16.5">
      <c r="A12" s="3" t="s">
        <v>7</v>
      </c>
      <c r="B12" s="4">
        <f>473+4</f>
        <v>477</v>
      </c>
      <c r="C12" s="4">
        <f>1662+57</f>
        <v>1719</v>
      </c>
      <c r="D12" s="4">
        <v>1960</v>
      </c>
      <c r="E12" s="4">
        <f>2159+49</f>
        <v>2208</v>
      </c>
      <c r="F12" s="4">
        <f>1812+85</f>
        <v>1897</v>
      </c>
      <c r="G12" s="4">
        <f>86+23</f>
        <v>109</v>
      </c>
      <c r="H12" s="4">
        <f>SUM(B12:G12)</f>
        <v>8370</v>
      </c>
    </row>
    <row r="13" spans="1:8" ht="16.5">
      <c r="A13" s="3" t="s">
        <v>8</v>
      </c>
      <c r="B13" s="4">
        <f>732+270</f>
        <v>1002</v>
      </c>
      <c r="C13" s="4">
        <v>4099</v>
      </c>
      <c r="D13" s="4">
        <f>3939+753</f>
        <v>4692</v>
      </c>
      <c r="E13" s="4">
        <f>3963+699</f>
        <v>4662</v>
      </c>
      <c r="F13" s="4">
        <f>3911+947</f>
        <v>4858</v>
      </c>
      <c r="G13" s="4">
        <f>1031+1286</f>
        <v>2317</v>
      </c>
      <c r="H13" s="4">
        <f aca="true" t="shared" si="2" ref="H13:H25">SUM(B13:G13)</f>
        <v>21630</v>
      </c>
    </row>
    <row r="14" spans="1:8" ht="16.5">
      <c r="A14" s="3" t="s">
        <v>9</v>
      </c>
      <c r="B14" s="4">
        <f>249+5</f>
        <v>254</v>
      </c>
      <c r="C14" s="4">
        <f>694+14</f>
        <v>708</v>
      </c>
      <c r="D14" s="4">
        <f>929+70</f>
        <v>999</v>
      </c>
      <c r="E14" s="4">
        <f>845+14</f>
        <v>859</v>
      </c>
      <c r="F14" s="4">
        <f>1147+211</f>
        <v>1358</v>
      </c>
      <c r="G14" s="4">
        <f>29+29</f>
        <v>58</v>
      </c>
      <c r="H14" s="4">
        <f t="shared" si="2"/>
        <v>4236</v>
      </c>
    </row>
    <row r="15" spans="1:8" ht="16.5">
      <c r="A15" s="3" t="s">
        <v>62</v>
      </c>
      <c r="B15" s="4">
        <f>176+6</f>
        <v>182</v>
      </c>
      <c r="C15" s="4">
        <f>504+33</f>
        <v>537</v>
      </c>
      <c r="D15" s="4">
        <f>545+12</f>
        <v>557</v>
      </c>
      <c r="E15" s="4">
        <f>518+14</f>
        <v>532</v>
      </c>
      <c r="F15" s="4">
        <f>514+22</f>
        <v>536</v>
      </c>
      <c r="G15" s="4">
        <f>16+14</f>
        <v>30</v>
      </c>
      <c r="H15" s="4">
        <f t="shared" si="2"/>
        <v>2374</v>
      </c>
    </row>
    <row r="16" spans="1:8" ht="16.5">
      <c r="A16" s="3" t="s">
        <v>61</v>
      </c>
      <c r="B16" s="4">
        <v>61</v>
      </c>
      <c r="C16" s="4">
        <v>193</v>
      </c>
      <c r="D16" s="4">
        <f>191+11</f>
        <v>202</v>
      </c>
      <c r="E16" s="4">
        <v>124</v>
      </c>
      <c r="F16" s="4">
        <v>106</v>
      </c>
      <c r="G16" s="4">
        <v>3</v>
      </c>
      <c r="H16" s="4">
        <f t="shared" si="2"/>
        <v>689</v>
      </c>
    </row>
    <row r="17" spans="1:8" ht="16.5">
      <c r="A17" s="3" t="s">
        <v>10</v>
      </c>
      <c r="B17" s="4">
        <f>122+23</f>
        <v>145</v>
      </c>
      <c r="C17" s="4">
        <f>456+14</f>
        <v>470</v>
      </c>
      <c r="D17" s="4">
        <f>585+26</f>
        <v>611</v>
      </c>
      <c r="E17" s="4">
        <f>717+9</f>
        <v>726</v>
      </c>
      <c r="F17" s="4">
        <f>651+35</f>
        <v>686</v>
      </c>
      <c r="G17" s="4">
        <v>26</v>
      </c>
      <c r="H17" s="4">
        <f t="shared" si="2"/>
        <v>2664</v>
      </c>
    </row>
    <row r="18" spans="1:8" ht="16.5">
      <c r="A18" s="3" t="s">
        <v>66</v>
      </c>
      <c r="B18" s="4">
        <f>911+204</f>
        <v>1115</v>
      </c>
      <c r="C18" s="4">
        <f>3267+871</f>
        <v>4138</v>
      </c>
      <c r="D18" s="4">
        <f>4552+1337</f>
        <v>5889</v>
      </c>
      <c r="E18" s="4">
        <f>3959+1747</f>
        <v>5706</v>
      </c>
      <c r="F18" s="4">
        <f>4800+1063</f>
        <v>5863</v>
      </c>
      <c r="G18" s="4">
        <f>689+1215</f>
        <v>1904</v>
      </c>
      <c r="H18" s="4">
        <f t="shared" si="2"/>
        <v>24615</v>
      </c>
    </row>
    <row r="19" spans="1:8" ht="16.5">
      <c r="A19" s="3" t="s">
        <v>11</v>
      </c>
      <c r="B19" s="4">
        <v>414</v>
      </c>
      <c r="C19" s="4">
        <f>1275+43</f>
        <v>1318</v>
      </c>
      <c r="D19" s="4">
        <f>1722+148</f>
        <v>1870</v>
      </c>
      <c r="E19" s="4">
        <f>1428+29</f>
        <v>1457</v>
      </c>
      <c r="F19" s="4">
        <f>1706+161</f>
        <v>1867</v>
      </c>
      <c r="G19" s="4">
        <f>177+176</f>
        <v>353</v>
      </c>
      <c r="H19" s="4">
        <f t="shared" si="2"/>
        <v>7279</v>
      </c>
    </row>
    <row r="20" spans="1:8" ht="16.5">
      <c r="A20" s="3" t="s">
        <v>12</v>
      </c>
      <c r="B20" s="4">
        <f>718+138</f>
        <v>856</v>
      </c>
      <c r="C20" s="4">
        <f>3533+683</f>
        <v>4216</v>
      </c>
      <c r="D20" s="4">
        <f>4352+1045</f>
        <v>5397</v>
      </c>
      <c r="E20" s="4">
        <f>4402+679</f>
        <v>5081</v>
      </c>
      <c r="F20" s="4">
        <f>2964+722</f>
        <v>3686</v>
      </c>
      <c r="G20" s="4">
        <f>581+253</f>
        <v>834</v>
      </c>
      <c r="H20" s="4">
        <f t="shared" si="2"/>
        <v>20070</v>
      </c>
    </row>
    <row r="21" spans="1:8" ht="16.5">
      <c r="A21" s="3" t="s">
        <v>13</v>
      </c>
      <c r="B21" s="4">
        <f>378+9</f>
        <v>387</v>
      </c>
      <c r="C21" s="4">
        <f>1290+50</f>
        <v>1340</v>
      </c>
      <c r="D21" s="4">
        <f>1556+152</f>
        <v>1708</v>
      </c>
      <c r="E21" s="4">
        <f>1719+19</f>
        <v>1738</v>
      </c>
      <c r="F21" s="4">
        <f>1985+445</f>
        <v>2430</v>
      </c>
      <c r="G21" s="4">
        <f>251+646</f>
        <v>897</v>
      </c>
      <c r="H21" s="4">
        <f t="shared" si="2"/>
        <v>8500</v>
      </c>
    </row>
    <row r="22" spans="1:8" ht="16.5">
      <c r="A22" s="3" t="s">
        <v>14</v>
      </c>
      <c r="B22" s="4">
        <f>329+14</f>
        <v>343</v>
      </c>
      <c r="C22" s="4">
        <f>1309+200</f>
        <v>1509</v>
      </c>
      <c r="D22" s="4">
        <f>1557+193</f>
        <v>1750</v>
      </c>
      <c r="E22" s="4">
        <f>1723+34</f>
        <v>1757</v>
      </c>
      <c r="F22" s="4">
        <f>1458+80</f>
        <v>1538</v>
      </c>
      <c r="G22" s="4">
        <f>121+16</f>
        <v>137</v>
      </c>
      <c r="H22" s="4">
        <f t="shared" si="2"/>
        <v>7034</v>
      </c>
    </row>
    <row r="23" spans="1:8" ht="16.5">
      <c r="A23" s="3" t="s">
        <v>67</v>
      </c>
      <c r="B23" s="4">
        <f>709+21</f>
        <v>730</v>
      </c>
      <c r="C23" s="4">
        <v>3116</v>
      </c>
      <c r="D23" s="4">
        <f>2529+189</f>
        <v>2718</v>
      </c>
      <c r="E23" s="4">
        <f>3872+198</f>
        <v>4070</v>
      </c>
      <c r="F23" s="4">
        <f>3294+173</f>
        <v>3467</v>
      </c>
      <c r="G23" s="4">
        <f>189+140</f>
        <v>329</v>
      </c>
      <c r="H23" s="4">
        <f t="shared" si="2"/>
        <v>14430</v>
      </c>
    </row>
    <row r="24" spans="1:8" ht="16.5">
      <c r="A24" s="3" t="s">
        <v>65</v>
      </c>
      <c r="B24" s="4">
        <f>354+5</f>
        <v>359</v>
      </c>
      <c r="C24" s="4">
        <f>1313+43</f>
        <v>1356</v>
      </c>
      <c r="D24" s="4">
        <f>1326+75</f>
        <v>1401</v>
      </c>
      <c r="E24" s="4">
        <f>1517+90</f>
        <v>1607</v>
      </c>
      <c r="F24" s="4">
        <f>1371+72</f>
        <v>1443</v>
      </c>
      <c r="G24" s="4">
        <f>230+78</f>
        <v>308</v>
      </c>
      <c r="H24" s="4">
        <f t="shared" si="2"/>
        <v>6474</v>
      </c>
    </row>
    <row r="25" spans="1:8" ht="16.5">
      <c r="A25" s="3" t="s">
        <v>15</v>
      </c>
      <c r="B25" s="4">
        <f>333+37</f>
        <v>370</v>
      </c>
      <c r="C25" s="4">
        <f>1771+130</f>
        <v>1901</v>
      </c>
      <c r="D25" s="4">
        <f>1591+56</f>
        <v>1647</v>
      </c>
      <c r="E25" s="4">
        <f>1777+79</f>
        <v>1856</v>
      </c>
      <c r="F25" s="4">
        <f>1411+78</f>
        <v>1489</v>
      </c>
      <c r="G25" s="4">
        <f>110+158</f>
        <v>268</v>
      </c>
      <c r="H25" s="4">
        <f t="shared" si="2"/>
        <v>7531</v>
      </c>
    </row>
    <row r="26" spans="1:8" ht="16.5">
      <c r="A26" s="5" t="s">
        <v>16</v>
      </c>
      <c r="B26" s="6">
        <f aca="true" t="shared" si="3" ref="B26:H26">SUM(B12:B25)</f>
        <v>6695</v>
      </c>
      <c r="C26" s="6">
        <f t="shared" si="3"/>
        <v>26620</v>
      </c>
      <c r="D26" s="6">
        <f t="shared" si="3"/>
        <v>31401</v>
      </c>
      <c r="E26" s="6">
        <f t="shared" si="3"/>
        <v>32383</v>
      </c>
      <c r="F26" s="6">
        <f t="shared" si="3"/>
        <v>31224</v>
      </c>
      <c r="G26" s="6">
        <f t="shared" si="3"/>
        <v>7573</v>
      </c>
      <c r="H26" s="6">
        <f t="shared" si="3"/>
        <v>135896</v>
      </c>
    </row>
    <row r="27" spans="1:8" ht="16.5">
      <c r="A27" s="4"/>
      <c r="B27" s="4"/>
      <c r="C27" s="4"/>
      <c r="D27" s="4"/>
      <c r="E27" s="4"/>
      <c r="F27" s="4"/>
      <c r="G27" s="4"/>
      <c r="H27" s="4"/>
    </row>
    <row r="28" spans="1:8" ht="16.5">
      <c r="A28" s="3" t="s">
        <v>17</v>
      </c>
      <c r="B28" s="4">
        <v>18</v>
      </c>
      <c r="C28" s="4">
        <v>137</v>
      </c>
      <c r="D28" s="4">
        <v>78</v>
      </c>
      <c r="E28" s="4">
        <v>82</v>
      </c>
      <c r="F28" s="4">
        <v>61</v>
      </c>
      <c r="G28" s="4">
        <v>3</v>
      </c>
      <c r="H28" s="4">
        <f>SUM(B28:G28)</f>
        <v>379</v>
      </c>
    </row>
    <row r="29" spans="1:8" ht="16.5">
      <c r="A29" s="3" t="s">
        <v>18</v>
      </c>
      <c r="B29" s="4">
        <v>30</v>
      </c>
      <c r="C29" s="4">
        <f>117+25</f>
        <v>142</v>
      </c>
      <c r="D29" s="4">
        <f>145+31</f>
        <v>176</v>
      </c>
      <c r="E29" s="4">
        <f>193+27</f>
        <v>220</v>
      </c>
      <c r="F29" s="4">
        <f>192+36</f>
        <v>228</v>
      </c>
      <c r="G29" s="4">
        <v>32</v>
      </c>
      <c r="H29" s="4">
        <f aca="true" t="shared" si="4" ref="H29:H39">SUM(B29:G29)</f>
        <v>828</v>
      </c>
    </row>
    <row r="30" spans="1:8" ht="16.5">
      <c r="A30" s="3" t="s">
        <v>63</v>
      </c>
      <c r="B30" s="4">
        <v>11</v>
      </c>
      <c r="C30" s="4">
        <v>62</v>
      </c>
      <c r="D30" s="4">
        <v>63</v>
      </c>
      <c r="E30" s="4">
        <v>100</v>
      </c>
      <c r="F30" s="4">
        <v>88</v>
      </c>
      <c r="G30" s="4">
        <v>2</v>
      </c>
      <c r="H30" s="4">
        <f t="shared" si="4"/>
        <v>326</v>
      </c>
    </row>
    <row r="31" spans="1:8" ht="16.5">
      <c r="A31" s="3" t="s">
        <v>60</v>
      </c>
      <c r="B31" s="4">
        <v>19</v>
      </c>
      <c r="C31" s="4">
        <f>117+15</f>
        <v>132</v>
      </c>
      <c r="D31" s="4">
        <v>146</v>
      </c>
      <c r="E31" s="4">
        <f>119+29</f>
        <v>148</v>
      </c>
      <c r="F31" s="4">
        <v>130</v>
      </c>
      <c r="G31" s="4">
        <v>3</v>
      </c>
      <c r="H31" s="4">
        <f t="shared" si="4"/>
        <v>578</v>
      </c>
    </row>
    <row r="32" spans="1:8" ht="16.5">
      <c r="A32" s="3" t="s">
        <v>76</v>
      </c>
      <c r="B32" s="4">
        <v>3</v>
      </c>
      <c r="C32" s="4">
        <v>70</v>
      </c>
      <c r="D32" s="4">
        <v>28</v>
      </c>
      <c r="E32" s="4">
        <v>57</v>
      </c>
      <c r="F32" s="4">
        <v>39</v>
      </c>
      <c r="G32" s="4">
        <v>0</v>
      </c>
      <c r="H32" s="4">
        <f t="shared" si="4"/>
        <v>197</v>
      </c>
    </row>
    <row r="33" spans="1:8" ht="16.5">
      <c r="A33" s="3" t="s">
        <v>53</v>
      </c>
      <c r="B33" s="4">
        <v>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4"/>
        <v>1</v>
      </c>
    </row>
    <row r="34" spans="1:8" ht="16.5">
      <c r="A34" s="3" t="s">
        <v>20</v>
      </c>
      <c r="B34" s="4">
        <v>46</v>
      </c>
      <c r="C34" s="4">
        <v>256</v>
      </c>
      <c r="D34" s="4">
        <v>343</v>
      </c>
      <c r="E34" s="4">
        <f>392+21</f>
        <v>413</v>
      </c>
      <c r="F34" s="4">
        <v>560</v>
      </c>
      <c r="G34" s="4">
        <v>47</v>
      </c>
      <c r="H34" s="4">
        <f t="shared" si="4"/>
        <v>1665</v>
      </c>
    </row>
    <row r="35" spans="1:8" ht="16.5">
      <c r="A35" s="3" t="s">
        <v>21</v>
      </c>
      <c r="B35" s="4">
        <f>316+31</f>
        <v>347</v>
      </c>
      <c r="C35" s="4">
        <v>1793</v>
      </c>
      <c r="D35" s="4">
        <f>2015+409</f>
        <v>2424</v>
      </c>
      <c r="E35" s="4">
        <f>2318+129</f>
        <v>2447</v>
      </c>
      <c r="F35" s="4">
        <f>2425+379</f>
        <v>2804</v>
      </c>
      <c r="G35" s="4">
        <f>250+182</f>
        <v>432</v>
      </c>
      <c r="H35" s="4">
        <f t="shared" si="4"/>
        <v>10247</v>
      </c>
    </row>
    <row r="36" spans="1:8" ht="16.5">
      <c r="A36" s="3" t="s">
        <v>22</v>
      </c>
      <c r="B36" s="4">
        <v>96</v>
      </c>
      <c r="C36" s="4">
        <v>436</v>
      </c>
      <c r="D36" s="4">
        <f>405+7</f>
        <v>412</v>
      </c>
      <c r="E36" s="4">
        <f>488+6</f>
        <v>494</v>
      </c>
      <c r="F36" s="4">
        <f>494+9</f>
        <v>503</v>
      </c>
      <c r="G36" s="4">
        <v>103</v>
      </c>
      <c r="H36" s="4">
        <f t="shared" si="4"/>
        <v>2044</v>
      </c>
    </row>
    <row r="37" spans="1:8" ht="16.5">
      <c r="A37" s="3" t="s">
        <v>68</v>
      </c>
      <c r="B37" s="4">
        <v>149</v>
      </c>
      <c r="C37" s="4">
        <f>585+22</f>
        <v>607</v>
      </c>
      <c r="D37" s="4">
        <f>515+35</f>
        <v>550</v>
      </c>
      <c r="E37" s="4">
        <f>669+13</f>
        <v>682</v>
      </c>
      <c r="F37" s="4">
        <v>454</v>
      </c>
      <c r="G37" s="4">
        <f>76+46</f>
        <v>122</v>
      </c>
      <c r="H37" s="4">
        <f t="shared" si="4"/>
        <v>2564</v>
      </c>
    </row>
    <row r="38" spans="1:8" ht="16.5">
      <c r="A38" s="3" t="s">
        <v>23</v>
      </c>
      <c r="B38" s="4">
        <v>57</v>
      </c>
      <c r="C38" s="4">
        <f>154+17</f>
        <v>171</v>
      </c>
      <c r="D38" s="4">
        <f>94+8</f>
        <v>102</v>
      </c>
      <c r="E38" s="4">
        <f>161+10</f>
        <v>171</v>
      </c>
      <c r="F38" s="4">
        <f>117+14</f>
        <v>131</v>
      </c>
      <c r="G38" s="4">
        <f>37+78</f>
        <v>115</v>
      </c>
      <c r="H38" s="4">
        <f t="shared" si="4"/>
        <v>747</v>
      </c>
    </row>
    <row r="39" spans="1:8" ht="16.5">
      <c r="A39" s="3" t="s">
        <v>24</v>
      </c>
      <c r="B39" s="4">
        <v>27</v>
      </c>
      <c r="C39" s="4">
        <f>130+16</f>
        <v>146</v>
      </c>
      <c r="D39" s="4">
        <f>155+6</f>
        <v>161</v>
      </c>
      <c r="E39" s="4">
        <v>213</v>
      </c>
      <c r="F39" s="4">
        <v>141</v>
      </c>
      <c r="G39" s="4">
        <v>6</v>
      </c>
      <c r="H39" s="4">
        <f t="shared" si="4"/>
        <v>694</v>
      </c>
    </row>
    <row r="40" spans="1:8" ht="16.5">
      <c r="A40" s="5" t="s">
        <v>25</v>
      </c>
      <c r="B40" s="6">
        <f>SUM(B28:B39)</f>
        <v>804</v>
      </c>
      <c r="C40" s="6">
        <f aca="true" t="shared" si="5" ref="C40:H40">SUM(C28:C39)</f>
        <v>3952</v>
      </c>
      <c r="D40" s="6">
        <f t="shared" si="5"/>
        <v>4483</v>
      </c>
      <c r="E40" s="6">
        <f t="shared" si="5"/>
        <v>5027</v>
      </c>
      <c r="F40" s="6">
        <f t="shared" si="5"/>
        <v>5139</v>
      </c>
      <c r="G40" s="6">
        <f t="shared" si="5"/>
        <v>865</v>
      </c>
      <c r="H40" s="6">
        <f t="shared" si="5"/>
        <v>20270</v>
      </c>
    </row>
    <row r="41" spans="1:8" ht="16.5">
      <c r="A41" s="4"/>
      <c r="B41" s="4"/>
      <c r="C41" s="4"/>
      <c r="D41" s="4"/>
      <c r="E41" s="4"/>
      <c r="F41" s="4"/>
      <c r="G41" s="4"/>
      <c r="H41" s="4"/>
    </row>
    <row r="42" spans="1:8" ht="16.5">
      <c r="A42" s="3" t="s">
        <v>77</v>
      </c>
      <c r="B42" s="4">
        <v>12</v>
      </c>
      <c r="C42" s="4">
        <v>43</v>
      </c>
      <c r="D42" s="4">
        <v>43</v>
      </c>
      <c r="E42" s="4">
        <v>75</v>
      </c>
      <c r="F42" s="4">
        <v>48</v>
      </c>
      <c r="G42" s="4">
        <v>23</v>
      </c>
      <c r="H42" s="4">
        <f aca="true" t="shared" si="6" ref="H42:H47">SUM(B42:G42)</f>
        <v>244</v>
      </c>
    </row>
    <row r="43" spans="1:8" ht="16.5">
      <c r="A43" s="3" t="s">
        <v>78</v>
      </c>
      <c r="B43" s="4">
        <v>0</v>
      </c>
      <c r="C43" s="4">
        <v>25</v>
      </c>
      <c r="D43" s="4">
        <v>48</v>
      </c>
      <c r="E43" s="4">
        <v>50</v>
      </c>
      <c r="F43" s="4">
        <v>31</v>
      </c>
      <c r="G43" s="4">
        <v>0</v>
      </c>
      <c r="H43" s="4">
        <f t="shared" si="6"/>
        <v>154</v>
      </c>
    </row>
    <row r="44" spans="1:8" ht="16.5">
      <c r="A44" s="3" t="s">
        <v>64</v>
      </c>
      <c r="B44" s="4">
        <v>0</v>
      </c>
      <c r="C44" s="4">
        <v>34</v>
      </c>
      <c r="D44" s="4">
        <v>35</v>
      </c>
      <c r="E44" s="4">
        <v>34</v>
      </c>
      <c r="F44" s="4">
        <v>52</v>
      </c>
      <c r="G44" s="4">
        <v>23</v>
      </c>
      <c r="H44" s="4">
        <f t="shared" si="6"/>
        <v>178</v>
      </c>
    </row>
    <row r="45" spans="1:8" ht="16.5">
      <c r="A45" s="3" t="s">
        <v>27</v>
      </c>
      <c r="B45" s="4">
        <v>6</v>
      </c>
      <c r="C45" s="4">
        <v>9</v>
      </c>
      <c r="D45" s="4">
        <v>11</v>
      </c>
      <c r="E45" s="4">
        <v>31</v>
      </c>
      <c r="F45" s="4">
        <v>21</v>
      </c>
      <c r="G45" s="4">
        <v>0</v>
      </c>
      <c r="H45" s="4">
        <f t="shared" si="6"/>
        <v>78</v>
      </c>
    </row>
    <row r="46" spans="1:8" ht="16.5">
      <c r="A46" s="3" t="s">
        <v>28</v>
      </c>
      <c r="B46" s="4">
        <v>9</v>
      </c>
      <c r="C46" s="4">
        <v>14</v>
      </c>
      <c r="D46" s="4">
        <v>19</v>
      </c>
      <c r="E46" s="4">
        <v>20</v>
      </c>
      <c r="F46" s="4">
        <v>18</v>
      </c>
      <c r="G46" s="4">
        <v>12</v>
      </c>
      <c r="H46" s="4">
        <f t="shared" si="6"/>
        <v>92</v>
      </c>
    </row>
    <row r="47" spans="1:8" ht="16.5">
      <c r="A47" s="3" t="s">
        <v>29</v>
      </c>
      <c r="B47" s="4">
        <v>15</v>
      </c>
      <c r="C47" s="4">
        <v>28</v>
      </c>
      <c r="D47" s="4">
        <v>38</v>
      </c>
      <c r="E47" s="4">
        <v>67</v>
      </c>
      <c r="F47" s="4">
        <f>35+8</f>
        <v>43</v>
      </c>
      <c r="G47" s="4">
        <v>14</v>
      </c>
      <c r="H47" s="4">
        <f t="shared" si="6"/>
        <v>205</v>
      </c>
    </row>
    <row r="48" spans="1:8" ht="16.5">
      <c r="A48" s="5" t="s">
        <v>30</v>
      </c>
      <c r="B48" s="6">
        <f>SUM(B42:B47)</f>
        <v>42</v>
      </c>
      <c r="C48" s="6">
        <f aca="true" t="shared" si="7" ref="C48:H48">SUM(C42:C47)</f>
        <v>153</v>
      </c>
      <c r="D48" s="6">
        <f t="shared" si="7"/>
        <v>194</v>
      </c>
      <c r="E48" s="6">
        <f t="shared" si="7"/>
        <v>277</v>
      </c>
      <c r="F48" s="6">
        <f t="shared" si="7"/>
        <v>213</v>
      </c>
      <c r="G48" s="6">
        <f t="shared" si="7"/>
        <v>72</v>
      </c>
      <c r="H48" s="6">
        <f t="shared" si="7"/>
        <v>951</v>
      </c>
    </row>
    <row r="49" spans="1:8" ht="16.5">
      <c r="A49" s="4"/>
      <c r="B49" s="4"/>
      <c r="C49" s="4"/>
      <c r="D49" s="4"/>
      <c r="E49" s="4"/>
      <c r="F49" s="4"/>
      <c r="G49" s="4"/>
      <c r="H49" s="4"/>
    </row>
    <row r="50" spans="1:8" ht="16.5">
      <c r="A50" s="5" t="s">
        <v>31</v>
      </c>
      <c r="B50" s="6">
        <v>2</v>
      </c>
      <c r="C50" s="6">
        <v>5</v>
      </c>
      <c r="D50" s="6">
        <v>2</v>
      </c>
      <c r="E50" s="6">
        <v>10</v>
      </c>
      <c r="F50" s="6">
        <v>2</v>
      </c>
      <c r="G50" s="6">
        <v>0</v>
      </c>
      <c r="H50" s="6">
        <f>SUM(B50:G50)</f>
        <v>21</v>
      </c>
    </row>
    <row r="51" spans="1:8" ht="16.5">
      <c r="A51" s="4"/>
      <c r="B51" s="4"/>
      <c r="C51" s="4"/>
      <c r="D51" s="4"/>
      <c r="E51" s="4"/>
      <c r="F51" s="4"/>
      <c r="G51" s="4"/>
      <c r="H51" s="4"/>
    </row>
    <row r="52" spans="1:8" ht="16.5">
      <c r="A52" s="3" t="s">
        <v>32</v>
      </c>
      <c r="B52" s="4">
        <v>0</v>
      </c>
      <c r="C52" s="4">
        <v>6</v>
      </c>
      <c r="D52" s="4">
        <v>15</v>
      </c>
      <c r="E52" s="4">
        <v>60</v>
      </c>
      <c r="F52" s="4">
        <v>131</v>
      </c>
      <c r="G52" s="4">
        <f>16+117</f>
        <v>133</v>
      </c>
      <c r="H52" s="4">
        <f>SUM(B52:G52)</f>
        <v>345</v>
      </c>
    </row>
    <row r="53" spans="1:8" ht="16.5">
      <c r="A53" s="3" t="s">
        <v>49</v>
      </c>
      <c r="B53" s="4">
        <v>11</v>
      </c>
      <c r="C53" s="4">
        <v>25</v>
      </c>
      <c r="D53" s="4">
        <v>15</v>
      </c>
      <c r="E53" s="4">
        <v>11</v>
      </c>
      <c r="F53" s="4">
        <v>17</v>
      </c>
      <c r="G53" s="4">
        <v>7</v>
      </c>
      <c r="H53" s="4">
        <f aca="true" t="shared" si="8" ref="H53:H62">SUM(B53:G53)</f>
        <v>86</v>
      </c>
    </row>
    <row r="54" spans="1:8" ht="16.5">
      <c r="A54" s="3" t="s">
        <v>33</v>
      </c>
      <c r="B54" s="4">
        <v>1</v>
      </c>
      <c r="C54" s="4">
        <v>7</v>
      </c>
      <c r="D54" s="4">
        <v>2</v>
      </c>
      <c r="E54" s="4">
        <v>5</v>
      </c>
      <c r="F54" s="4">
        <v>1</v>
      </c>
      <c r="G54" s="4">
        <v>0</v>
      </c>
      <c r="H54" s="4">
        <f t="shared" si="8"/>
        <v>16</v>
      </c>
    </row>
    <row r="55" spans="1:8" ht="16.5">
      <c r="A55" s="3" t="s">
        <v>34</v>
      </c>
      <c r="B55" s="4">
        <v>16</v>
      </c>
      <c r="C55" s="4">
        <v>33</v>
      </c>
      <c r="D55" s="4">
        <v>28</v>
      </c>
      <c r="E55" s="4">
        <v>28</v>
      </c>
      <c r="F55" s="4">
        <v>22</v>
      </c>
      <c r="G55" s="4">
        <v>12</v>
      </c>
      <c r="H55" s="4">
        <f t="shared" si="8"/>
        <v>139</v>
      </c>
    </row>
    <row r="56" spans="1:8" ht="16.5">
      <c r="A56" s="3" t="s">
        <v>35</v>
      </c>
      <c r="B56" s="4">
        <v>7</v>
      </c>
      <c r="C56" s="4">
        <v>1</v>
      </c>
      <c r="D56" s="4">
        <v>1</v>
      </c>
      <c r="E56" s="4">
        <v>2</v>
      </c>
      <c r="F56" s="4">
        <v>0</v>
      </c>
      <c r="G56" s="4">
        <v>0</v>
      </c>
      <c r="H56" s="4">
        <f t="shared" si="8"/>
        <v>11</v>
      </c>
    </row>
    <row r="57" spans="1:8" ht="16.5">
      <c r="A57" s="3" t="s">
        <v>50</v>
      </c>
      <c r="B57" s="4">
        <v>17</v>
      </c>
      <c r="C57" s="4">
        <v>51</v>
      </c>
      <c r="D57" s="4">
        <v>21</v>
      </c>
      <c r="E57" s="4">
        <v>19</v>
      </c>
      <c r="F57" s="4">
        <v>19</v>
      </c>
      <c r="G57" s="4">
        <v>6</v>
      </c>
      <c r="H57" s="4">
        <f t="shared" si="8"/>
        <v>133</v>
      </c>
    </row>
    <row r="58" spans="1:8" ht="16.5">
      <c r="A58" s="3" t="s">
        <v>69</v>
      </c>
      <c r="B58" s="4">
        <v>22</v>
      </c>
      <c r="C58" s="4">
        <v>32</v>
      </c>
      <c r="D58" s="4">
        <v>25</v>
      </c>
      <c r="E58" s="4">
        <v>37</v>
      </c>
      <c r="F58" s="4">
        <v>38</v>
      </c>
      <c r="G58" s="4">
        <v>14</v>
      </c>
      <c r="H58" s="4">
        <f t="shared" si="8"/>
        <v>168</v>
      </c>
    </row>
    <row r="59" spans="1:8" ht="16.5">
      <c r="A59" s="3" t="s">
        <v>36</v>
      </c>
      <c r="B59" s="4">
        <v>11</v>
      </c>
      <c r="C59" s="4">
        <v>75</v>
      </c>
      <c r="D59" s="4">
        <v>22</v>
      </c>
      <c r="E59" s="4">
        <v>28</v>
      </c>
      <c r="F59" s="4">
        <v>21</v>
      </c>
      <c r="G59" s="4">
        <v>12</v>
      </c>
      <c r="H59" s="4">
        <f t="shared" si="8"/>
        <v>169</v>
      </c>
    </row>
    <row r="60" spans="1:8" ht="16.5">
      <c r="A60" s="3" t="s">
        <v>37</v>
      </c>
      <c r="B60" s="4">
        <v>14</v>
      </c>
      <c r="C60" s="4">
        <v>17</v>
      </c>
      <c r="D60" s="4">
        <v>10</v>
      </c>
      <c r="E60" s="4">
        <v>21</v>
      </c>
      <c r="F60" s="4">
        <v>9</v>
      </c>
      <c r="G60" s="4">
        <v>2</v>
      </c>
      <c r="H60" s="4">
        <f t="shared" si="8"/>
        <v>73</v>
      </c>
    </row>
    <row r="61" spans="1:8" ht="16.5">
      <c r="A61" s="3" t="s">
        <v>38</v>
      </c>
      <c r="B61" s="4">
        <v>15</v>
      </c>
      <c r="C61" s="4">
        <v>19</v>
      </c>
      <c r="D61" s="4">
        <v>35</v>
      </c>
      <c r="E61" s="4">
        <f>37+5</f>
        <v>42</v>
      </c>
      <c r="F61" s="4">
        <v>27</v>
      </c>
      <c r="G61" s="4">
        <v>11</v>
      </c>
      <c r="H61" s="4">
        <f t="shared" si="8"/>
        <v>149</v>
      </c>
    </row>
    <row r="62" spans="1:8" ht="16.5">
      <c r="A62" s="3" t="s">
        <v>39</v>
      </c>
      <c r="B62" s="4">
        <v>8</v>
      </c>
      <c r="C62" s="4">
        <v>24</v>
      </c>
      <c r="D62" s="4">
        <v>29</v>
      </c>
      <c r="E62" s="4">
        <v>10</v>
      </c>
      <c r="F62" s="4">
        <v>21</v>
      </c>
      <c r="G62" s="4">
        <v>6</v>
      </c>
      <c r="H62" s="4">
        <f t="shared" si="8"/>
        <v>98</v>
      </c>
    </row>
    <row r="63" spans="1:8" ht="16.5">
      <c r="A63" s="5" t="s">
        <v>40</v>
      </c>
      <c r="B63" s="6">
        <f>SUM(B52:B62)</f>
        <v>122</v>
      </c>
      <c r="C63" s="6">
        <f aca="true" t="shared" si="9" ref="C63:H63">SUM(C52:C62)</f>
        <v>290</v>
      </c>
      <c r="D63" s="6">
        <f t="shared" si="9"/>
        <v>203</v>
      </c>
      <c r="E63" s="6">
        <f t="shared" si="9"/>
        <v>263</v>
      </c>
      <c r="F63" s="6">
        <f t="shared" si="9"/>
        <v>306</v>
      </c>
      <c r="G63" s="6">
        <f t="shared" si="9"/>
        <v>203</v>
      </c>
      <c r="H63" s="6">
        <f t="shared" si="9"/>
        <v>1387</v>
      </c>
    </row>
    <row r="64" spans="1:8" ht="16.5">
      <c r="A64" s="4"/>
      <c r="B64" s="4"/>
      <c r="C64" s="4"/>
      <c r="D64" s="4"/>
      <c r="E64" s="4"/>
      <c r="F64" s="4"/>
      <c r="G64" s="4"/>
      <c r="H64" s="4"/>
    </row>
    <row r="65" spans="1:8" ht="16.5">
      <c r="A65" s="3" t="s">
        <v>41</v>
      </c>
      <c r="B65" s="4">
        <v>483</v>
      </c>
      <c r="C65" s="4">
        <v>1535</v>
      </c>
      <c r="D65" s="4">
        <v>1536</v>
      </c>
      <c r="E65" s="4">
        <v>1973</v>
      </c>
      <c r="F65" s="4">
        <v>1828</v>
      </c>
      <c r="G65" s="4">
        <v>614</v>
      </c>
      <c r="H65" s="4">
        <f>SUM(B65:G65)</f>
        <v>7969</v>
      </c>
    </row>
    <row r="66" spans="1:8" ht="16.5">
      <c r="A66" s="3" t="s">
        <v>51</v>
      </c>
      <c r="B66" s="4">
        <v>1</v>
      </c>
      <c r="C66" s="4">
        <v>1</v>
      </c>
      <c r="D66" s="4">
        <v>0</v>
      </c>
      <c r="E66" s="4">
        <v>5</v>
      </c>
      <c r="F66" s="4">
        <v>16</v>
      </c>
      <c r="G66" s="4">
        <v>11</v>
      </c>
      <c r="H66" s="4">
        <f>SUM(B66:G66)</f>
        <v>34</v>
      </c>
    </row>
    <row r="67" spans="1:8" ht="16.5">
      <c r="A67" s="5" t="s">
        <v>42</v>
      </c>
      <c r="B67" s="6">
        <f>SUM(B65:B66)</f>
        <v>484</v>
      </c>
      <c r="C67" s="6">
        <f aca="true" t="shared" si="10" ref="C67:H67">SUM(C65:C66)</f>
        <v>1536</v>
      </c>
      <c r="D67" s="6">
        <f t="shared" si="10"/>
        <v>1536</v>
      </c>
      <c r="E67" s="6">
        <f t="shared" si="10"/>
        <v>1978</v>
      </c>
      <c r="F67" s="6">
        <f t="shared" si="10"/>
        <v>1844</v>
      </c>
      <c r="G67" s="6">
        <f t="shared" si="10"/>
        <v>625</v>
      </c>
      <c r="H67" s="6">
        <f t="shared" si="10"/>
        <v>8003</v>
      </c>
    </row>
    <row r="68" spans="1:8" ht="16.5">
      <c r="A68" s="4"/>
      <c r="B68" s="4"/>
      <c r="C68" s="4"/>
      <c r="D68" s="4"/>
      <c r="E68" s="4"/>
      <c r="F68" s="4"/>
      <c r="G68" s="4"/>
      <c r="H68" s="4"/>
    </row>
    <row r="69" spans="1:8" ht="16.5">
      <c r="A69" s="3" t="s">
        <v>43</v>
      </c>
      <c r="B69" s="4">
        <v>130</v>
      </c>
      <c r="C69" s="4">
        <v>234</v>
      </c>
      <c r="D69" s="4">
        <v>175</v>
      </c>
      <c r="E69" s="4">
        <v>190</v>
      </c>
      <c r="F69" s="4">
        <v>106</v>
      </c>
      <c r="G69" s="4">
        <v>28</v>
      </c>
      <c r="H69" s="4">
        <f>SUM(B69:G69)</f>
        <v>863</v>
      </c>
    </row>
    <row r="70" spans="1:8" ht="16.5">
      <c r="A70" s="3" t="s">
        <v>52</v>
      </c>
      <c r="B70" s="4">
        <v>100</v>
      </c>
      <c r="C70" s="4">
        <v>162</v>
      </c>
      <c r="D70" s="4">
        <v>178</v>
      </c>
      <c r="E70" s="4">
        <v>217</v>
      </c>
      <c r="F70" s="4">
        <v>163</v>
      </c>
      <c r="G70" s="4">
        <v>119</v>
      </c>
      <c r="H70" s="4">
        <f>SUM(B70:G70)</f>
        <v>939</v>
      </c>
    </row>
    <row r="71" spans="1:8" ht="16.5">
      <c r="A71" s="5" t="s">
        <v>44</v>
      </c>
      <c r="B71" s="6">
        <f>SUM(B69:B70)</f>
        <v>230</v>
      </c>
      <c r="C71" s="6">
        <f aca="true" t="shared" si="11" ref="C71:H71">SUM(C69:C70)</f>
        <v>396</v>
      </c>
      <c r="D71" s="6">
        <f t="shared" si="11"/>
        <v>353</v>
      </c>
      <c r="E71" s="6">
        <f t="shared" si="11"/>
        <v>407</v>
      </c>
      <c r="F71" s="6">
        <f t="shared" si="11"/>
        <v>269</v>
      </c>
      <c r="G71" s="6">
        <f t="shared" si="11"/>
        <v>147</v>
      </c>
      <c r="H71" s="6">
        <f t="shared" si="11"/>
        <v>1802</v>
      </c>
    </row>
    <row r="72" spans="1:8" ht="16.5">
      <c r="A72" s="4"/>
      <c r="B72" s="4"/>
      <c r="C72" s="4"/>
      <c r="D72" s="4"/>
      <c r="E72" s="4"/>
      <c r="F72" s="4"/>
      <c r="G72" s="4"/>
      <c r="H72" s="4"/>
    </row>
    <row r="73" spans="1:8" ht="16.5">
      <c r="A73" s="3" t="s">
        <v>45</v>
      </c>
      <c r="B73" s="4">
        <f aca="true" t="shared" si="12" ref="B73:H73">B10+B26+B40+B48+B50+B63+B67+B71</f>
        <v>9276</v>
      </c>
      <c r="C73" s="4">
        <f t="shared" si="12"/>
        <v>34401</v>
      </c>
      <c r="D73" s="4">
        <f t="shared" si="12"/>
        <v>39124</v>
      </c>
      <c r="E73" s="4">
        <f t="shared" si="12"/>
        <v>41940</v>
      </c>
      <c r="F73" s="4">
        <f t="shared" si="12"/>
        <v>40471</v>
      </c>
      <c r="G73" s="4">
        <f t="shared" si="12"/>
        <v>10910</v>
      </c>
      <c r="H73" s="4">
        <f t="shared" si="12"/>
        <v>176122</v>
      </c>
    </row>
    <row r="74" spans="1:8" ht="16.5">
      <c r="A74" s="4"/>
      <c r="B74" s="4"/>
      <c r="C74" s="4"/>
      <c r="D74" s="4"/>
      <c r="E74" s="4"/>
      <c r="F74" s="4"/>
      <c r="G74" s="4"/>
      <c r="H74" s="4"/>
    </row>
    <row r="75" spans="1:8" ht="16.5">
      <c r="A75" s="4"/>
      <c r="B75" s="4"/>
      <c r="C75" s="4"/>
      <c r="D75" s="4"/>
      <c r="E75" s="4"/>
      <c r="F75" s="4"/>
      <c r="G75" s="4"/>
      <c r="H75" s="4"/>
    </row>
    <row r="76" spans="1:8" ht="16.5">
      <c r="A76" s="4"/>
      <c r="B76" s="4"/>
      <c r="C76" s="4"/>
      <c r="D76" s="4"/>
      <c r="E76" s="4"/>
      <c r="F76" s="4"/>
      <c r="G76" s="4"/>
      <c r="H76" s="4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xp</cp:lastModifiedBy>
  <dcterms:created xsi:type="dcterms:W3CDTF">2011-03-02T08:35:53Z</dcterms:created>
  <dcterms:modified xsi:type="dcterms:W3CDTF">2012-11-07T09:36:58Z</dcterms:modified>
  <cp:category/>
  <cp:version/>
  <cp:contentType/>
  <cp:contentStatus/>
</cp:coreProperties>
</file>